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drawings/_rels/drawing8.xml.rels" ContentType="application/vnd.openxmlformats-package.relationships+xml"/>
  <Override PartName="/xl/drawings/_rels/drawing7.xml.rels" ContentType="application/vnd.openxmlformats-package.relationships+xml"/>
  <Override PartName="/xl/drawings/_rels/drawing6.xml.rels" ContentType="application/vnd.openxmlformats-package.relationships+xml"/>
  <Override PartName="/xl/drawings/_rels/drawing3.xml.rels" ContentType="application/vnd.openxmlformats-package.relationship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8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charts/chart68.xml" ContentType="application/vnd.openxmlformats-officedocument.drawingml.chart+xml"/>
  <Override PartName="/xl/charts/chart74.xml" ContentType="application/vnd.openxmlformats-officedocument.drawingml.chart+xml"/>
  <Override PartName="/xl/charts/chart71.xml" ContentType="application/vnd.openxmlformats-officedocument.drawingml.chart+xml"/>
  <Override PartName="/xl/charts/chart69.xml" ContentType="application/vnd.openxmlformats-officedocument.drawingml.chart+xml"/>
  <Override PartName="/xl/charts/chart75.xml" ContentType="application/vnd.openxmlformats-officedocument.drawingml.chart+xml"/>
  <Override PartName="/xl/charts/chart72.xml" ContentType="application/vnd.openxmlformats-officedocument.drawingml.chart+xml"/>
  <Override PartName="/xl/charts/chart70.xml" ContentType="application/vnd.openxmlformats-officedocument.drawingml.chart+xml"/>
  <Override PartName="/xl/charts/chart73.xml" ContentType="application/vnd.openxmlformats-officedocument.drawingml.chart+xml"/>
  <Override PartName="/xl/charts/chart76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77.xml" ContentType="application/vnd.openxmlformats-officedocument.drawingml.chart+xml"/>
  <Override PartName="/xl/charts/chart8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put" sheetId="1" state="visible" r:id="rId2"/>
    <sheet name="calc" sheetId="2" state="visible" r:id="rId3"/>
    <sheet name="elev__az" sheetId="3" state="visible" r:id="rId4"/>
    <sheet name="illum" sheetId="4" state="visible" r:id="rId5"/>
    <sheet name="distance__declin__RA" sheetId="5" state="visible" r:id="rId6"/>
    <sheet name="L__B" sheetId="6" state="visible" r:id="rId7"/>
    <sheet name="sol_ecl" sheetId="7" state="visible" r:id="rId8"/>
    <sheet name="lun_ecl" sheetId="8" state="visible" r:id="rId9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<sst xmlns="http://schemas.openxmlformats.org/spreadsheetml/2006/main" count="115" uniqueCount="83">
  <si>
    <t xml:space="preserve">DD,dd</t>
  </si>
  <si>
    <t xml:space="preserve">J. Giesen</t>
  </si>
  <si>
    <t xml:space="preserve">GeoAstro.de/</t>
  </si>
  <si>
    <t xml:space="preserve">moonpos</t>
  </si>
  <si>
    <t xml:space="preserve">Astronomical Algorithms</t>
  </si>
  <si>
    <t xml:space="preserve">by Jean Meeus</t>
  </si>
  <si>
    <t xml:space="preserve">rTopo max:</t>
  </si>
  <si>
    <t xml:space="preserve">rTopo min:</t>
  </si>
  <si>
    <t xml:space="preserve">month/date</t>
  </si>
  <si>
    <t xml:space="preserve">rGeo max:</t>
  </si>
  <si>
    <t xml:space="preserve">rGeo min:</t>
  </si>
  <si>
    <t xml:space="preserve">h UT</t>
  </si>
  <si>
    <t xml:space="preserve">min</t>
  </si>
  <si>
    <t xml:space="preserve">UT</t>
  </si>
  <si>
    <t xml:space="preserve">Date</t>
  </si>
  <si>
    <t xml:space="preserve">Month</t>
  </si>
  <si>
    <t xml:space="preserve">elev</t>
  </si>
  <si>
    <t xml:space="preserve">elevRefr</t>
  </si>
  <si>
    <t xml:space="preserve">ill frac</t>
  </si>
  <si>
    <t xml:space="preserve">az</t>
  </si>
  <si>
    <t xml:space="preserve">JD</t>
  </si>
  <si>
    <t xml:space="preserve">Day</t>
  </si>
  <si>
    <t xml:space="preserve">T</t>
  </si>
  <si>
    <t xml:space="preserve">LST</t>
  </si>
  <si>
    <t xml:space="preserve">L0</t>
  </si>
  <si>
    <t xml:space="preserve">DL</t>
  </si>
  <si>
    <t xml:space="preserve">L</t>
  </si>
  <si>
    <t xml:space="preserve">LS</t>
  </si>
  <si>
    <t xml:space="preserve">D</t>
  </si>
  <si>
    <t xml:space="preserve">F</t>
  </si>
  <si>
    <t xml:space="preserve">S</t>
  </si>
  <si>
    <t xml:space="preserve">H</t>
  </si>
  <si>
    <t xml:space="preserve">N</t>
  </si>
  <si>
    <t xml:space="preserve">Lmoon</t>
  </si>
  <si>
    <t xml:space="preserve">Lm</t>
  </si>
  <si>
    <t xml:space="preserve">Bmoon</t>
  </si>
  <si>
    <t xml:space="preserve">Bm</t>
  </si>
  <si>
    <t xml:space="preserve">X</t>
  </si>
  <si>
    <t xml:space="preserve">V</t>
  </si>
  <si>
    <t xml:space="preserve">W</t>
  </si>
  <si>
    <t xml:space="preserve">Y</t>
  </si>
  <si>
    <t xml:space="preserve">Z</t>
  </si>
  <si>
    <t xml:space="preserve">RHO</t>
  </si>
  <si>
    <t xml:space="preserve">DEC</t>
  </si>
  <si>
    <t xml:space="preserve">RA</t>
  </si>
  <si>
    <t xml:space="preserve">LHA</t>
  </si>
  <si>
    <t xml:space="preserve">equ hor par</t>
  </si>
  <si>
    <t xml:space="preserve">elev1</t>
  </si>
  <si>
    <t xml:space="preserve">par</t>
  </si>
  <si>
    <t xml:space="preserve">elev1-par</t>
  </si>
  <si>
    <t xml:space="preserve">Lsun</t>
  </si>
  <si>
    <t xml:space="preserve">d</t>
  </si>
  <si>
    <t xml:space="preserve">i</t>
  </si>
  <si>
    <t xml:space="preserve">arctan2(2;1)</t>
  </si>
  <si>
    <t xml:space="preserve">R / km</t>
  </si>
  <si>
    <t xml:space="preserve">u</t>
  </si>
  <si>
    <t xml:space="preserve">cos</t>
  </si>
  <si>
    <t xml:space="preserve">sin</t>
  </si>
  <si>
    <t xml:space="preserve">sin(pi)</t>
  </si>
  <si>
    <t xml:space="preserve">A</t>
  </si>
  <si>
    <t xml:space="preserve">B</t>
  </si>
  <si>
    <t xml:space="preserve">C</t>
  </si>
  <si>
    <t xml:space="preserve">return</t>
  </si>
  <si>
    <t xml:space="preserve">Rtopo</t>
  </si>
  <si>
    <t xml:space="preserve">Year</t>
  </si>
  <si>
    <t xml:space="preserve">Lat.:</t>
  </si>
  <si>
    <t xml:space="preserve">Long.:</t>
  </si>
  <si>
    <t xml:space="preserve">(=PI/180)</t>
  </si>
  <si>
    <t xml:space="preserve">min:</t>
  </si>
  <si>
    <t xml:space="preserve">max:</t>
  </si>
  <si>
    <t xml:space="preserve"> Don‘t edit any cell.</t>
  </si>
  <si>
    <t xml:space="preserve"> Go to ‚input‘.</t>
  </si>
  <si>
    <t xml:space="preserve">RA / h</t>
  </si>
  <si>
    <t xml:space="preserve">RA / °</t>
  </si>
  <si>
    <t xml:space="preserve">10*Bm</t>
  </si>
  <si>
    <t xml:space="preserve">|∆L|/17,4&lt;1?</t>
  </si>
  <si>
    <t xml:space="preserve">|Bm|/1,58&lt;1?</t>
  </si>
  <si>
    <t xml:space="preserve">|∆L|/17,4 + |Bm|/1,58</t>
  </si>
  <si>
    <t xml:space="preserve">SE ?</t>
  </si>
  <si>
    <t xml:space="preserve">||∆L|-180|</t>
  </si>
  <si>
    <t xml:space="preserve">|∆L/11,31|&lt;1?</t>
  </si>
  <si>
    <t xml:space="preserve">|Bm/1,067|&lt;1?</t>
  </si>
  <si>
    <t xml:space="preserve">|K| + |L|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</si>
</sst>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General"/>
    <numFmt numFmtId="166" formatCode="0.00"/>
    <numFmt numFmtId="167" formatCode="yyyy\-mm\-dd"/>
    <numFmt numFmtId="168" formatCode="0.0"/>
    <numFmt numFmtId="169" formatCode="0,000"/>
    <numFmt numFmtId="170" formatCode="#,##0"/>
    <numFmt numFmtId="171" formatCode="#,##0.00"/>
    <numFmt numFmtId="172" formatCode="0.000"/>
    <numFmt numFmtId="173" formatCode="0.000000"/>
    <numFmt numFmtId="174" formatCode="0.0000"/>
    <numFmt numFmtId="175" formatCode="#,##0.000"/>
    <numFmt numFmtId="176" formatCode="0"/>
    <numFmt numFmtId="177" formatCode="#,##0.0000"/>
    <numFmt numFmtId="178" formatCode="0.00000"/>
    <numFmt numFmtId="179" formatCode="#,###"/>
  </numFmts>
  <fonts count="28">
    <font>
      <sz val="12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0000"/>
      <name val="Arial"/>
      <family val="0"/>
    </font>
    <font>
      <b val="true"/>
      <sz val="12"/>
      <color rgb="FF000000"/>
      <name val="Arial"/>
      <family val="0"/>
    </font>
    <font>
      <sz val="12"/>
      <color rgb="FFFF0000"/>
      <name val="Arial"/>
      <family val="0"/>
    </font>
    <font>
      <sz val="10"/>
      <color rgb="FF000000"/>
      <name val="Arial"/>
      <family val="0"/>
    </font>
    <font>
      <sz val="11"/>
      <color rgb="FF000000"/>
      <name val="Arial"/>
      <family val="0"/>
    </font>
    <font>
      <sz val="13"/>
      <name val="Arial"/>
      <family val="2"/>
    </font>
    <font>
      <sz val="10"/>
      <name val="Arial"/>
      <family val="2"/>
    </font>
    <font>
      <b val="true"/>
      <sz val="11"/>
      <name val="Arial"/>
      <family val="2"/>
    </font>
    <font>
      <sz val="13"/>
      <color rgb="FF000000"/>
      <name val="Calibri"/>
      <family val="2"/>
    </font>
    <font>
      <sz val="10"/>
      <color rgb="FF000000"/>
      <name val="Calibri"/>
      <family val="2"/>
    </font>
    <font>
      <b val="true"/>
      <sz val="11"/>
      <color rgb="FF000000"/>
      <name val="Calibri"/>
      <family val="2"/>
    </font>
    <font>
      <sz val="12"/>
      <color rgb="FF0000FF"/>
      <name val="Arial"/>
      <family val="0"/>
    </font>
    <font>
      <b val="true"/>
      <sz val="12"/>
      <color rgb="FF0000FF"/>
      <name val="Arial"/>
      <family val="0"/>
    </font>
    <font>
      <b val="true"/>
      <sz val="11"/>
      <color rgb="FF000000"/>
      <name val="Arial"/>
      <family val="0"/>
    </font>
    <font>
      <b val="true"/>
      <sz val="13"/>
      <color rgb="FFFF0000"/>
      <name val="Arial"/>
      <family val="0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FF"/>
      <name val="Arial"/>
      <family val="0"/>
    </font>
    <font>
      <b val="true"/>
      <sz val="12"/>
      <color rgb="FFFF00FF"/>
      <name val="Arial"/>
      <family val="0"/>
    </font>
    <font>
      <b val="true"/>
      <sz val="12"/>
      <color rgb="FF000000"/>
      <name val="Calibri"/>
      <family val="2"/>
    </font>
    <font>
      <b val="true"/>
      <sz val="11"/>
      <color rgb="FFFF0000"/>
      <name val="Calibri"/>
      <family val="2"/>
    </font>
    <font>
      <b val="true"/>
      <sz val="11"/>
      <color rgb="FF0000FF"/>
      <name val="Calibri"/>
      <family val="2"/>
    </font>
    <font>
      <b val="true"/>
      <sz val="13"/>
      <color rgb="FF000000"/>
      <name val="Calibri"/>
      <family val="2"/>
    </font>
    <font>
      <b val="true"/>
      <sz val="13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FFFFFF"/>
      </patternFill>
    </fill>
    <fill>
      <patternFill patternType="solid">
        <fgColor rgb="FFFFFFFF"/>
        <bgColor rgb="FFE6E6E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7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9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Topocentric Distance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785531489919"/>
          <c:y val="0.119432749833813"/>
          <c:w val="0.857187441483054"/>
          <c:h val="0.78827830711278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ff"/>
            </a:solidFill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calc!$K$2:$K$367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calc!$BE$2:$BE$367</c:f>
              <c:numCache>
                <c:formatCode>General</c:formatCode>
                <c:ptCount val="366"/>
                <c:pt idx="0">
                  <c:v>363698.523623468</c:v>
                </c:pt>
                <c:pt idx="1">
                  <c:v>363501.252922391</c:v>
                </c:pt>
                <c:pt idx="2">
                  <c:v>364861.90456191</c:v>
                </c:pt>
                <c:pt idx="3">
                  <c:v>367705.213989981</c:v>
                </c:pt>
                <c:pt idx="4">
                  <c:v>371778.157783672</c:v>
                </c:pt>
                <c:pt idx="5">
                  <c:v>376693.740109148</c:v>
                </c:pt>
                <c:pt idx="6">
                  <c:v>381997.363760567</c:v>
                </c:pt>
                <c:pt idx="7">
                  <c:v>387236.025788104</c:v>
                </c:pt>
                <c:pt idx="8">
                  <c:v>392013.85786089</c:v>
                </c:pt>
                <c:pt idx="9">
                  <c:v>396026.540558718</c:v>
                </c:pt>
                <c:pt idx="10">
                  <c:v>399075.804507669</c:v>
                </c:pt>
                <c:pt idx="11">
                  <c:v>401069.344711636</c:v>
                </c:pt>
                <c:pt idx="12">
                  <c:v>402011.013599262</c:v>
                </c:pt>
                <c:pt idx="13">
                  <c:v>401984.029241086</c:v>
                </c:pt>
                <c:pt idx="14">
                  <c:v>401128.824586124</c:v>
                </c:pt>
                <c:pt idx="15">
                  <c:v>399617.60251154</c:v>
                </c:pt>
                <c:pt idx="16">
                  <c:v>397628.525503621</c:v>
                </c:pt>
                <c:pt idx="17">
                  <c:v>395322.710412247</c:v>
                </c:pt>
                <c:pt idx="18">
                  <c:v>392826.811988122</c:v>
                </c:pt>
                <c:pt idx="19">
                  <c:v>390223.492470735</c:v>
                </c:pt>
                <c:pt idx="20">
                  <c:v>387551.577361806</c:v>
                </c:pt>
                <c:pt idx="21">
                  <c:v>384816.682366241</c:v>
                </c:pt>
                <c:pt idx="22">
                  <c:v>382011.204679488</c:v>
                </c:pt>
                <c:pt idx="23">
                  <c:v>379140.209956925</c:v>
                </c:pt>
                <c:pt idx="24">
                  <c:v>376247.800341945</c:v>
                </c:pt>
                <c:pt idx="25">
                  <c:v>373437.611819459</c:v>
                </c:pt>
                <c:pt idx="26">
                  <c:v>370881.206915707</c:v>
                </c:pt>
                <c:pt idx="27">
                  <c:v>368809.324550419</c:v>
                </c:pt>
                <c:pt idx="28">
                  <c:v>367483.68450466</c:v>
                </c:pt>
                <c:pt idx="29">
                  <c:v>367151.775058345</c:v>
                </c:pt>
                <c:pt idx="30">
                  <c:v>367993.152706583</c:v>
                </c:pt>
                <c:pt idx="31">
                  <c:v>370070.95838218</c:v>
                </c:pt>
                <c:pt idx="32">
                  <c:v>373303.408573297</c:v>
                </c:pt>
                <c:pt idx="33">
                  <c:v>377464.944688768</c:v>
                </c:pt>
                <c:pt idx="34">
                  <c:v>382216.886137584</c:v>
                </c:pt>
                <c:pt idx="35">
                  <c:v>387157.623414507</c:v>
                </c:pt>
                <c:pt idx="36">
                  <c:v>391877.750933753</c:v>
                </c:pt>
                <c:pt idx="37">
                  <c:v>396007.746042431</c:v>
                </c:pt>
                <c:pt idx="38">
                  <c:v>399252.092397796</c:v>
                </c:pt>
                <c:pt idx="39">
                  <c:v>401409.575969686</c:v>
                </c:pt>
                <c:pt idx="40">
                  <c:v>402382.062789798</c:v>
                </c:pt>
                <c:pt idx="41">
                  <c:v>402173.796246561</c:v>
                </c:pt>
                <c:pt idx="42">
                  <c:v>400882.310171118</c:v>
                </c:pt>
                <c:pt idx="43">
                  <c:v>398681.984667934</c:v>
                </c:pt>
                <c:pt idx="44">
                  <c:v>395801.89554256</c:v>
                </c:pt>
                <c:pt idx="45">
                  <c:v>392499.969130151</c:v>
                </c:pt>
                <c:pt idx="46">
                  <c:v>389035.343400472</c:v>
                </c:pt>
                <c:pt idx="47">
                  <c:v>385641.060512147</c:v>
                </c:pt>
                <c:pt idx="48">
                  <c:v>382500.391567107</c:v>
                </c:pt>
                <c:pt idx="49">
                  <c:v>379731.482454593</c:v>
                </c:pt>
                <c:pt idx="50">
                  <c:v>377384.877665872</c:v>
                </c:pt>
                <c:pt idx="51">
                  <c:v>375455.756737123</c:v>
                </c:pt>
                <c:pt idx="52">
                  <c:v>373908.248748659</c:v>
                </c:pt>
                <c:pt idx="53">
                  <c:v>372705.234455645</c:v>
                </c:pt>
                <c:pt idx="54">
                  <c:v>371835.489416505</c:v>
                </c:pt>
                <c:pt idx="55">
                  <c:v>371331.054444631</c:v>
                </c:pt>
                <c:pt idx="56">
                  <c:v>371270.198782458</c:v>
                </c:pt>
                <c:pt idx="57">
                  <c:v>371764.252786631</c:v>
                </c:pt>
                <c:pt idx="58">
                  <c:v>372929.895696141</c:v>
                </c:pt>
                <c:pt idx="59">
                  <c:v>374852.433840866</c:v>
                </c:pt>
                <c:pt idx="60">
                  <c:v>377549.35800668</c:v>
                </c:pt>
                <c:pt idx="61">
                  <c:v>380944.895063656</c:v>
                </c:pt>
                <c:pt idx="62">
                  <c:v>384863.580829659</c:v>
                </c:pt>
                <c:pt idx="63">
                  <c:v>389044.656600313</c:v>
                </c:pt>
                <c:pt idx="64">
                  <c:v>393172.426501682</c:v>
                </c:pt>
                <c:pt idx="65">
                  <c:v>396914.033798867</c:v>
                </c:pt>
                <c:pt idx="66">
                  <c:v>399956.637499268</c:v>
                </c:pt>
                <c:pt idx="67">
                  <c:v>402039.100229292</c:v>
                </c:pt>
                <c:pt idx="68">
                  <c:v>402976.318764919</c:v>
                </c:pt>
                <c:pt idx="69">
                  <c:v>402675.685545781</c:v>
                </c:pt>
                <c:pt idx="70">
                  <c:v>401145.291280723</c:v>
                </c:pt>
                <c:pt idx="71">
                  <c:v>398493.628885621</c:v>
                </c:pt>
                <c:pt idx="72">
                  <c:v>394921.173330949</c:v>
                </c:pt>
                <c:pt idx="73">
                  <c:v>390704.574197312</c:v>
                </c:pt>
                <c:pt idx="74">
                  <c:v>386173.705152374</c:v>
                </c:pt>
                <c:pt idx="75">
                  <c:v>381681.228006788</c:v>
                </c:pt>
                <c:pt idx="76">
                  <c:v>377565.352155916</c:v>
                </c:pt>
                <c:pt idx="77">
                  <c:v>374109.851419629</c:v>
                </c:pt>
                <c:pt idx="78">
                  <c:v>371509.510923873</c:v>
                </c:pt>
                <c:pt idx="79">
                  <c:v>369850.778584814</c:v>
                </c:pt>
                <c:pt idx="80">
                  <c:v>369114.231288556</c:v>
                </c:pt>
                <c:pt idx="81">
                  <c:v>369198.419399956</c:v>
                </c:pt>
                <c:pt idx="82">
                  <c:v>369957.407340829</c:v>
                </c:pt>
                <c:pt idx="83">
                  <c:v>371240.643722952</c:v>
                </c:pt>
                <c:pt idx="84">
                  <c:v>372924.812617442</c:v>
                </c:pt>
                <c:pt idx="85">
                  <c:v>374931.283934758</c:v>
                </c:pt>
                <c:pt idx="86">
                  <c:v>377227.142176363</c:v>
                </c:pt>
                <c:pt idx="87">
                  <c:v>379811.281824121</c:v>
                </c:pt>
                <c:pt idx="88">
                  <c:v>382689.906994725</c:v>
                </c:pt>
                <c:pt idx="89">
                  <c:v>385848.169864008</c:v>
                </c:pt>
                <c:pt idx="90">
                  <c:v>389225.854928271</c:v>
                </c:pt>
                <c:pt idx="91">
                  <c:v>392703.844150937</c:v>
                </c:pt>
                <c:pt idx="92">
                  <c:v>396104.560613364</c:v>
                </c:pt>
                <c:pt idx="93">
                  <c:v>399205.293949972</c:v>
                </c:pt>
                <c:pt idx="94">
                  <c:v>401760.398048534</c:v>
                </c:pt>
                <c:pt idx="95">
                  <c:v>403527.797023907</c:v>
                </c:pt>
                <c:pt idx="96">
                  <c:v>404296.240791304</c:v>
                </c:pt>
                <c:pt idx="97">
                  <c:v>403910.781484283</c:v>
                </c:pt>
                <c:pt idx="98">
                  <c:v>402294.282255815</c:v>
                </c:pt>
                <c:pt idx="99">
                  <c:v>399462.945939412</c:v>
                </c:pt>
                <c:pt idx="100">
                  <c:v>395534.545119546</c:v>
                </c:pt>
                <c:pt idx="101">
                  <c:v>390728.885092357</c:v>
                </c:pt>
                <c:pt idx="102">
                  <c:v>385359.887884006</c:v>
                </c:pt>
                <c:pt idx="103">
                  <c:v>379817.234717094</c:v>
                </c:pt>
                <c:pt idx="104">
                  <c:v>374534.41159452</c:v>
                </c:pt>
                <c:pt idx="105">
                  <c:v>369941.928263739</c:v>
                </c:pt>
                <c:pt idx="106">
                  <c:v>366410.42845397</c:v>
                </c:pt>
                <c:pt idx="107">
                  <c:v>364195.833710974</c:v>
                </c:pt>
                <c:pt idx="108">
                  <c:v>363402.514410417</c:v>
                </c:pt>
                <c:pt idx="109">
                  <c:v>363976.903883262</c:v>
                </c:pt>
                <c:pt idx="110">
                  <c:v>365733.747192009</c:v>
                </c:pt>
                <c:pt idx="111">
                  <c:v>368405.684137776</c:v>
                </c:pt>
                <c:pt idx="112">
                  <c:v>371700.204037008</c:v>
                </c:pt>
                <c:pt idx="113">
                  <c:v>375348.64780537</c:v>
                </c:pt>
                <c:pt idx="114">
                  <c:v>379137.725728192</c:v>
                </c:pt>
                <c:pt idx="115">
                  <c:v>382920.86109777</c:v>
                </c:pt>
                <c:pt idx="116">
                  <c:v>386611.732978576</c:v>
                </c:pt>
                <c:pt idx="117">
                  <c:v>390165.198383796</c:v>
                </c:pt>
                <c:pt idx="118">
                  <c:v>393552.056226174</c:v>
                </c:pt>
                <c:pt idx="119">
                  <c:v>396734.314837004</c:v>
                </c:pt>
                <c:pt idx="120">
                  <c:v>399646.586959102</c:v>
                </c:pt>
                <c:pt idx="121">
                  <c:v>402186.986585587</c:v>
                </c:pt>
                <c:pt idx="122">
                  <c:v>404218.244323164</c:v>
                </c:pt>
                <c:pt idx="123">
                  <c:v>405577.823407374</c:v>
                </c:pt>
                <c:pt idx="124">
                  <c:v>406095.060643956</c:v>
                </c:pt>
                <c:pt idx="125">
                  <c:v>405613.212533397</c:v>
                </c:pt>
                <c:pt idx="126">
                  <c:v>404013.969390222</c:v>
                </c:pt>
                <c:pt idx="127">
                  <c:v>401241.500045439</c:v>
                </c:pt>
                <c:pt idx="128">
                  <c:v>397323.122784491</c:v>
                </c:pt>
                <c:pt idx="129">
                  <c:v>392384.557985567</c:v>
                </c:pt>
                <c:pt idx="130">
                  <c:v>386658.440776606</c:v>
                </c:pt>
                <c:pt idx="131">
                  <c:v>380483.926920293</c:v>
                </c:pt>
                <c:pt idx="132">
                  <c:v>374292.858786236</c:v>
                </c:pt>
                <c:pt idx="133">
                  <c:v>368576.601406779</c:v>
                </c:pt>
                <c:pt idx="134">
                  <c:v>363830.758145615</c:v>
                </c:pt>
                <c:pt idx="135">
                  <c:v>360483.541523295</c:v>
                </c:pt>
                <c:pt idx="136">
                  <c:v>358823.981577362</c:v>
                </c:pt>
                <c:pt idx="137">
                  <c:v>358951.663752996</c:v>
                </c:pt>
                <c:pt idx="138">
                  <c:v>360765.260453746</c:v>
                </c:pt>
                <c:pt idx="139">
                  <c:v>363993.778428505</c:v>
                </c:pt>
                <c:pt idx="140">
                  <c:v>368259.142631723</c:v>
                </c:pt>
                <c:pt idx="141">
                  <c:v>373149.474038087</c:v>
                </c:pt>
                <c:pt idx="142">
                  <c:v>378282.812325436</c:v>
                </c:pt>
                <c:pt idx="143">
                  <c:v>383348.783849232</c:v>
                </c:pt>
                <c:pt idx="144">
                  <c:v>388125.371786659</c:v>
                </c:pt>
                <c:pt idx="145">
                  <c:v>392474.954253529</c:v>
                </c:pt>
                <c:pt idx="146">
                  <c:v>396326.684087847</c:v>
                </c:pt>
                <c:pt idx="147">
                  <c:v>399652.217654181</c:v>
                </c:pt>
                <c:pt idx="148">
                  <c:v>402440.538125854</c:v>
                </c:pt>
                <c:pt idx="149">
                  <c:v>404676.190106918</c:v>
                </c:pt>
                <c:pt idx="150">
                  <c:v>406323.871634104</c:v>
                </c:pt>
                <c:pt idx="151">
                  <c:v>407321.058687337</c:v>
                </c:pt>
                <c:pt idx="152">
                  <c:v>407579.298086907</c:v>
                </c:pt>
                <c:pt idx="153">
                  <c:v>406993.976644165</c:v>
                </c:pt>
                <c:pt idx="154">
                  <c:v>405461.476775816</c:v>
                </c:pt>
                <c:pt idx="155">
                  <c:v>402901.529609575</c:v>
                </c:pt>
                <c:pt idx="156">
                  <c:v>399281.701662739</c:v>
                </c:pt>
                <c:pt idx="157">
                  <c:v>394640.930258384</c:v>
                </c:pt>
                <c:pt idx="158">
                  <c:v>389109.72903411</c:v>
                </c:pt>
                <c:pt idx="159">
                  <c:v>382924.857609868</c:v>
                </c:pt>
                <c:pt idx="160">
                  <c:v>376434.613110324</c:v>
                </c:pt>
                <c:pt idx="161">
                  <c:v>370088.054897776</c:v>
                </c:pt>
                <c:pt idx="162">
                  <c:v>364400.508361798</c:v>
                </c:pt>
                <c:pt idx="163">
                  <c:v>359892.185813995</c:v>
                </c:pt>
                <c:pt idx="164">
                  <c:v>357007.245194474</c:v>
                </c:pt>
                <c:pt idx="165">
                  <c:v>356032.577332595</c:v>
                </c:pt>
                <c:pt idx="166">
                  <c:v>357041.513421798</c:v>
                </c:pt>
                <c:pt idx="167">
                  <c:v>359882.115560184</c:v>
                </c:pt>
                <c:pt idx="168">
                  <c:v>364214.163096584</c:v>
                </c:pt>
                <c:pt idx="169">
                  <c:v>369581.323502534</c:v>
                </c:pt>
                <c:pt idx="170">
                  <c:v>375494.478566636</c:v>
                </c:pt>
                <c:pt idx="171">
                  <c:v>381503.074168448</c:v>
                </c:pt>
                <c:pt idx="172">
                  <c:v>387241.005962019</c:v>
                </c:pt>
                <c:pt idx="173">
                  <c:v>392445.197547124</c:v>
                </c:pt>
                <c:pt idx="174">
                  <c:v>396952.818801773</c:v>
                </c:pt>
                <c:pt idx="175">
                  <c:v>400685.259944304</c:v>
                </c:pt>
                <c:pt idx="176">
                  <c:v>403625.476742311</c:v>
                </c:pt>
                <c:pt idx="177">
                  <c:v>405793.142794523</c:v>
                </c:pt>
                <c:pt idx="178">
                  <c:v>407220.834903129</c:v>
                </c:pt>
                <c:pt idx="179">
                  <c:v>407934.12291198</c:v>
                </c:pt>
                <c:pt idx="180">
                  <c:v>407938.123178164</c:v>
                </c:pt>
                <c:pt idx="181">
                  <c:v>407212.337067139</c:v>
                </c:pt>
                <c:pt idx="182">
                  <c:v>405714.48207128</c:v>
                </c:pt>
                <c:pt idx="183">
                  <c:v>403392.758414133</c:v>
                </c:pt>
                <c:pt idx="184">
                  <c:v>400204.811474285</c:v>
                </c:pt>
                <c:pt idx="185">
                  <c:v>396140.853437996</c:v>
                </c:pt>
                <c:pt idx="186">
                  <c:v>391248.204583608</c:v>
                </c:pt>
                <c:pt idx="187">
                  <c:v>385654.560273291</c:v>
                </c:pt>
                <c:pt idx="188">
                  <c:v>379586.616322592</c:v>
                </c:pt>
                <c:pt idx="189">
                  <c:v>373378.626490431</c:v>
                </c:pt>
                <c:pt idx="190">
                  <c:v>367463.021813046</c:v>
                </c:pt>
                <c:pt idx="191">
                  <c:v>362335.309346597</c:v>
                </c:pt>
                <c:pt idx="192">
                  <c:v>358491.039445958</c:v>
                </c:pt>
                <c:pt idx="193">
                  <c:v>356343.614873364</c:v>
                </c:pt>
                <c:pt idx="194">
                  <c:v>356143.39708637</c:v>
                </c:pt>
                <c:pt idx="195">
                  <c:v>357923.598111339</c:v>
                </c:pt>
                <c:pt idx="196">
                  <c:v>361491.933606508</c:v>
                </c:pt>
                <c:pt idx="197">
                  <c:v>366470.871815791</c:v>
                </c:pt>
                <c:pt idx="198">
                  <c:v>372371.797919914</c:v>
                </c:pt>
                <c:pt idx="199">
                  <c:v>378678.640305668</c:v>
                </c:pt>
                <c:pt idx="200">
                  <c:v>384918.399491873</c:v>
                </c:pt>
                <c:pt idx="201">
                  <c:v>390706.376203395</c:v>
                </c:pt>
                <c:pt idx="202">
                  <c:v>395765.506498196</c:v>
                </c:pt>
                <c:pt idx="203">
                  <c:v>399926.160629704</c:v>
                </c:pt>
                <c:pt idx="204">
                  <c:v>403113.768641526</c:v>
                </c:pt>
                <c:pt idx="205">
                  <c:v>405329.404990601</c:v>
                </c:pt>
                <c:pt idx="206">
                  <c:v>406626.416063975</c:v>
                </c:pt>
                <c:pt idx="207">
                  <c:v>407085.740274532</c:v>
                </c:pt>
                <c:pt idx="208">
                  <c:v>406793.006903577</c:v>
                </c:pt>
                <c:pt idx="209">
                  <c:v>405820.522113655</c:v>
                </c:pt>
                <c:pt idx="210">
                  <c:v>404216.448679899</c:v>
                </c:pt>
                <c:pt idx="211">
                  <c:v>402002.340732116</c:v>
                </c:pt>
                <c:pt idx="212">
                  <c:v>399179.217976009</c:v>
                </c:pt>
                <c:pt idx="213">
                  <c:v>395741.571355221</c:v>
                </c:pt>
                <c:pt idx="214">
                  <c:v>391697.844114869</c:v>
                </c:pt>
                <c:pt idx="215">
                  <c:v>387094.94467032</c:v>
                </c:pt>
                <c:pt idx="216">
                  <c:v>382043.252127104</c:v>
                </c:pt>
                <c:pt idx="217">
                  <c:v>376737.253840212</c:v>
                </c:pt>
                <c:pt idx="218">
                  <c:v>371465.35859782</c:v>
                </c:pt>
                <c:pt idx="219">
                  <c:v>366601.344590981</c:v>
                </c:pt>
                <c:pt idx="220">
                  <c:v>362571.263230021</c:v>
                </c:pt>
                <c:pt idx="221">
                  <c:v>359795.332961835</c:v>
                </c:pt>
                <c:pt idx="222">
                  <c:v>358614.006255009</c:v>
                </c:pt>
                <c:pt idx="223">
                  <c:v>359216.924812388</c:v>
                </c:pt>
                <c:pt idx="224">
                  <c:v>361596.90778946</c:v>
                </c:pt>
                <c:pt idx="225">
                  <c:v>365544.765182416</c:v>
                </c:pt>
                <c:pt idx="226">
                  <c:v>370686.598573137</c:v>
                </c:pt>
                <c:pt idx="227">
                  <c:v>376550.372975018</c:v>
                </c:pt>
                <c:pt idx="228">
                  <c:v>382640.510704565</c:v>
                </c:pt>
                <c:pt idx="229">
                  <c:v>388501.296390667</c:v>
                </c:pt>
                <c:pt idx="230">
                  <c:v>393759.048037859</c:v>
                </c:pt>
                <c:pt idx="231">
                  <c:v>398142.829460597</c:v>
                </c:pt>
                <c:pt idx="232">
                  <c:v>401488.839525856</c:v>
                </c:pt>
                <c:pt idx="233">
                  <c:v>403733.832062334</c:v>
                </c:pt>
                <c:pt idx="234">
                  <c:v>404900.835485413</c:v>
                </c:pt>
                <c:pt idx="235">
                  <c:v>405079.092691945</c:v>
                </c:pt>
                <c:pt idx="236">
                  <c:v>404400.374009624</c:v>
                </c:pt>
                <c:pt idx="237">
                  <c:v>403014.543753388</c:v>
                </c:pt>
                <c:pt idx="238">
                  <c:v>401067.339214791</c:v>
                </c:pt>
                <c:pt idx="239">
                  <c:v>398682.772653315</c:v>
                </c:pt>
                <c:pt idx="240">
                  <c:v>395952.124143868</c:v>
                </c:pt>
                <c:pt idx="241">
                  <c:v>392931.383825297</c:v>
                </c:pt>
                <c:pt idx="242">
                  <c:v>389648.552514321</c:v>
                </c:pt>
                <c:pt idx="243">
                  <c:v>386120.670481236</c:v>
                </c:pt>
                <c:pt idx="244">
                  <c:v>382377.968606027</c:v>
                </c:pt>
                <c:pt idx="245">
                  <c:v>378490.134701033</c:v>
                </c:pt>
                <c:pt idx="246">
                  <c:v>374588.277385179</c:v>
                </c:pt>
                <c:pt idx="247">
                  <c:v>370875.927253327</c:v>
                </c:pt>
                <c:pt idx="248">
                  <c:v>367623.211275281</c:v>
                </c:pt>
                <c:pt idx="249">
                  <c:v>365140.578820787</c:v>
                </c:pt>
                <c:pt idx="250">
                  <c:v>363732.977563895</c:v>
                </c:pt>
                <c:pt idx="251">
                  <c:v>363642.051241302</c:v>
                </c:pt>
                <c:pt idx="252">
                  <c:v>364990.449182976</c:v>
                </c:pt>
                <c:pt idx="253">
                  <c:v>367744.857442476</c:v>
                </c:pt>
                <c:pt idx="254">
                  <c:v>371710.093686418</c:v>
                </c:pt>
                <c:pt idx="255">
                  <c:v>376556.39905374</c:v>
                </c:pt>
                <c:pt idx="256">
                  <c:v>381870.688993132</c:v>
                </c:pt>
                <c:pt idx="257">
                  <c:v>387215.925679387</c:v>
                </c:pt>
                <c:pt idx="258">
                  <c:v>392183.897405724</c:v>
                </c:pt>
                <c:pt idx="259">
                  <c:v>396433.434911741</c:v>
                </c:pt>
                <c:pt idx="260">
                  <c:v>399713.315450312</c:v>
                </c:pt>
                <c:pt idx="261">
                  <c:v>401872.819146943</c:v>
                </c:pt>
                <c:pt idx="262">
                  <c:v>402862.811437797</c:v>
                </c:pt>
                <c:pt idx="263">
                  <c:v>402728.728470598</c:v>
                </c:pt>
                <c:pt idx="264">
                  <c:v>401596.185782467</c:v>
                </c:pt>
                <c:pt idx="265">
                  <c:v>399650.444236763</c:v>
                </c:pt>
                <c:pt idx="266">
                  <c:v>397111.654618868</c:v>
                </c:pt>
                <c:pt idx="267">
                  <c:v>394208.042957446</c:v>
                </c:pt>
                <c:pt idx="268">
                  <c:v>391149.470235378</c:v>
                </c:pt>
                <c:pt idx="269">
                  <c:v>388104.741982104</c:v>
                </c:pt>
                <c:pt idx="270">
                  <c:v>385187.169922643</c:v>
                </c:pt>
                <c:pt idx="271">
                  <c:v>382452.656828754</c:v>
                </c:pt>
                <c:pt idx="272">
                  <c:v>379911.923582397</c:v>
                </c:pt>
                <c:pt idx="273">
                  <c:v>377554.190585565</c:v>
                </c:pt>
                <c:pt idx="274">
                  <c:v>375375.861614624</c:v>
                </c:pt>
                <c:pt idx="275">
                  <c:v>373406.354825706</c:v>
                </c:pt>
                <c:pt idx="276">
                  <c:v>371724.271710192</c:v>
                </c:pt>
                <c:pt idx="277">
                  <c:v>370459.369030349</c:v>
                </c:pt>
                <c:pt idx="278">
                  <c:v>369778.31853095</c:v>
                </c:pt>
                <c:pt idx="279">
                  <c:v>369855.166407148</c:v>
                </c:pt>
                <c:pt idx="280">
                  <c:v>370831.320501442</c:v>
                </c:pt>
                <c:pt idx="281">
                  <c:v>372774.247135321</c:v>
                </c:pt>
                <c:pt idx="282">
                  <c:v>375646.596384343</c:v>
                </c:pt>
                <c:pt idx="283">
                  <c:v>379295.669596249</c:v>
                </c:pt>
                <c:pt idx="284">
                  <c:v>383466.67699975</c:v>
                </c:pt>
                <c:pt idx="285">
                  <c:v>387835.101672888</c:v>
                </c:pt>
                <c:pt idx="286">
                  <c:v>392048.168073719</c:v>
                </c:pt>
                <c:pt idx="287">
                  <c:v>395765.41357084</c:v>
                </c:pt>
                <c:pt idx="288">
                  <c:v>398692.376900385</c:v>
                </c:pt>
                <c:pt idx="289">
                  <c:v>400605.846619958</c:v>
                </c:pt>
                <c:pt idx="290">
                  <c:v>401371.240028733</c:v>
                </c:pt>
                <c:pt idx="291">
                  <c:v>400952.466301087</c:v>
                </c:pt>
                <c:pt idx="292">
                  <c:v>399413.798165944</c:v>
                </c:pt>
                <c:pt idx="293">
                  <c:v>396913.181833524</c:v>
                </c:pt>
                <c:pt idx="294">
                  <c:v>393686.940202089</c:v>
                </c:pt>
                <c:pt idx="295">
                  <c:v>390026.232325405</c:v>
                </c:pt>
                <c:pt idx="296">
                  <c:v>386245.992534994</c:v>
                </c:pt>
                <c:pt idx="297">
                  <c:v>382648.392623131</c:v>
                </c:pt>
                <c:pt idx="298">
                  <c:v>379485.641502437</c:v>
                </c:pt>
                <c:pt idx="299">
                  <c:v>376929.820604844</c:v>
                </c:pt>
                <c:pt idx="300">
                  <c:v>375057.914455915</c:v>
                </c:pt>
                <c:pt idx="301">
                  <c:v>373856.762788763</c:v>
                </c:pt>
                <c:pt idx="302">
                  <c:v>373246.523941722</c:v>
                </c:pt>
                <c:pt idx="303">
                  <c:v>373115.487798333</c:v>
                </c:pt>
                <c:pt idx="304">
                  <c:v>373356.36742675</c:v>
                </c:pt>
                <c:pt idx="305">
                  <c:v>373895.073188812</c:v>
                </c:pt>
                <c:pt idx="306">
                  <c:v>374706.052923812</c:v>
                </c:pt>
                <c:pt idx="307">
                  <c:v>375811.78900957</c:v>
                </c:pt>
                <c:pt idx="308">
                  <c:v>377267.172536721</c:v>
                </c:pt>
                <c:pt idx="309">
                  <c:v>379132.455208864</c:v>
                </c:pt>
                <c:pt idx="310">
                  <c:v>381441.419237881</c:v>
                </c:pt>
                <c:pt idx="311">
                  <c:v>384173.312200738</c:v>
                </c:pt>
                <c:pt idx="312">
                  <c:v>387236.396878271</c:v>
                </c:pt>
                <c:pt idx="313">
                  <c:v>390467.212311995</c:v>
                </c:pt>
                <c:pt idx="314">
                  <c:v>393644.504538679</c:v>
                </c:pt>
                <c:pt idx="315">
                  <c:v>396513.030684397</c:v>
                </c:pt>
                <c:pt idx="316">
                  <c:v>398811.698336278</c:v>
                </c:pt>
                <c:pt idx="317">
                  <c:v>400302.062860757</c:v>
                </c:pt>
                <c:pt idx="318">
                  <c:v>400794.997124163</c:v>
                </c:pt>
                <c:pt idx="319">
                  <c:v>400173.969948421</c:v>
                </c:pt>
                <c:pt idx="320">
                  <c:v>398413.082711218</c:v>
                </c:pt>
                <c:pt idx="321">
                  <c:v>395587.880613545</c:v>
                </c:pt>
                <c:pt idx="322">
                  <c:v>391877.343711759</c:v>
                </c:pt>
                <c:pt idx="323">
                  <c:v>387555.725930556</c:v>
                </c:pt>
                <c:pt idx="324">
                  <c:v>382972.607747709</c:v>
                </c:pt>
                <c:pt idx="325">
                  <c:v>378519.622576298</c:v>
                </c:pt>
                <c:pt idx="326">
                  <c:v>374584.591170238</c:v>
                </c:pt>
                <c:pt idx="327">
                  <c:v>371498.731968591</c:v>
                </c:pt>
                <c:pt idx="328">
                  <c:v>369488.002712664</c:v>
                </c:pt>
                <c:pt idx="329">
                  <c:v>368641.771360237</c:v>
                </c:pt>
                <c:pt idx="330">
                  <c:v>368908.575758317</c:v>
                </c:pt>
                <c:pt idx="331">
                  <c:v>370120.60248012</c:v>
                </c:pt>
                <c:pt idx="332">
                  <c:v>372039.307841614</c:v>
                </c:pt>
                <c:pt idx="333">
                  <c:v>374408.531435784</c:v>
                </c:pt>
                <c:pt idx="334">
                  <c:v>377000.962663731</c:v>
                </c:pt>
                <c:pt idx="335">
                  <c:v>379648.263136089</c:v>
                </c:pt>
                <c:pt idx="336">
                  <c:v>382251.511893779</c:v>
                </c:pt>
                <c:pt idx="337">
                  <c:v>384773.91143101</c:v>
                </c:pt>
                <c:pt idx="338">
                  <c:v>387220.700088981</c:v>
                </c:pt>
                <c:pt idx="339">
                  <c:v>389612.460866965</c:v>
                </c:pt>
                <c:pt idx="340">
                  <c:v>391958.226046417</c:v>
                </c:pt>
                <c:pt idx="341">
                  <c:v>394234.033966725</c:v>
                </c:pt>
                <c:pt idx="342">
                  <c:v>396370.767376053</c:v>
                </c:pt>
                <c:pt idx="343">
                  <c:v>398252.645691963</c:v>
                </c:pt>
                <c:pt idx="344">
                  <c:v>399725.647595741</c:v>
                </c:pt>
                <c:pt idx="345">
                  <c:v>400614.055708826</c:v>
                </c:pt>
                <c:pt idx="346">
                  <c:v>400742.967002399</c:v>
                </c:pt>
                <c:pt idx="347">
                  <c:v>399964.277729212</c:v>
                </c:pt>
                <c:pt idx="348">
                  <c:v>398183.115981485</c:v>
                </c:pt>
                <c:pt idx="349">
                  <c:v>395381.472169194</c:v>
                </c:pt>
                <c:pt idx="350">
                  <c:v>391636.255590604</c:v>
                </c:pt>
                <c:pt idx="351">
                  <c:v>387129.605500155</c:v>
                </c:pt>
                <c:pt idx="352">
                  <c:v>382148.925175292</c:v>
                </c:pt>
                <c:pt idx="353">
                  <c:v>377072.770600877</c:v>
                </c:pt>
                <c:pt idx="354">
                  <c:v>372338.332732332</c:v>
                </c:pt>
                <c:pt idx="355">
                  <c:v>368389.349726433</c:v>
                </c:pt>
                <c:pt idx="356">
                  <c:v>365610.377398944</c:v>
                </c:pt>
                <c:pt idx="357">
                  <c:v>364261.511340158</c:v>
                </c:pt>
                <c:pt idx="358">
                  <c:v>364432.006950702</c:v>
                </c:pt>
                <c:pt idx="359">
                  <c:v>366028.085278813</c:v>
                </c:pt>
                <c:pt idx="360">
                  <c:v>368799.64976442</c:v>
                </c:pt>
                <c:pt idx="361">
                  <c:v>372397.205751548</c:v>
                </c:pt>
                <c:pt idx="362">
                  <c:v>376440.714957227</c:v>
                </c:pt>
                <c:pt idx="363">
                  <c:v>380581.008424797</c:v>
                </c:pt>
                <c:pt idx="364">
                  <c:v>384540.991990446</c:v>
                </c:pt>
                <c:pt idx="365">
                  <c:v>388133.265557173</c:v>
                </c:pt>
              </c:numCache>
            </c:numRef>
          </c:yVal>
          <c:smooth val="0"/>
        </c:ser>
        <c:axId val="35337458"/>
        <c:axId val="16066125"/>
      </c:scatterChart>
      <c:valAx>
        <c:axId val="35337458"/>
        <c:scaling>
          <c:orientation val="minMax"/>
          <c:max val="366"/>
          <c:min val="1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latin typeface="Arial"/>
                  </a:defRPr>
                </a:pPr>
                <a:r>
                  <a:rPr b="1" sz="11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25291804506585"/>
              <c:y val="0.815865278085531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6066125"/>
        <c:crosses val="autoZero"/>
        <c:crossBetween val="between"/>
        <c:majorUnit val="30"/>
      </c:valAx>
      <c:valAx>
        <c:axId val="16066125"/>
        <c:scaling>
          <c:orientation val="minMax"/>
          <c:max val="410000"/>
          <c:min val="35000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533745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Geocentric Distance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03636145445818"/>
          <c:y val="0.0979376405043495"/>
          <c:w val="0.88167526701068"/>
          <c:h val="0.831981233506011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distance__declin__RA!$E$2:$E$367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distance__declin__RA!$F$2:$F$367</c:f>
              <c:numCache>
                <c:formatCode>General</c:formatCode>
                <c:ptCount val="366"/>
                <c:pt idx="0">
                  <c:v>358890.617322509</c:v>
                </c:pt>
                <c:pt idx="1">
                  <c:v>358034.323186647</c:v>
                </c:pt>
                <c:pt idx="2">
                  <c:v>359079.098953901</c:v>
                </c:pt>
                <c:pt idx="3">
                  <c:v>361965.133281612</c:v>
                </c:pt>
                <c:pt idx="4">
                  <c:v>366418.562042338</c:v>
                </c:pt>
                <c:pt idx="5">
                  <c:v>372003.09731646</c:v>
                </c:pt>
                <c:pt idx="6">
                  <c:v>378198.746404514</c:v>
                </c:pt>
                <c:pt idx="7">
                  <c:v>384483.215702744</c:v>
                </c:pt>
                <c:pt idx="8">
                  <c:v>390396.226734294</c:v>
                </c:pt>
                <c:pt idx="9">
                  <c:v>395578.138823575</c:v>
                </c:pt>
                <c:pt idx="10">
                  <c:v>399784.774086755</c:v>
                </c:pt>
                <c:pt idx="11">
                  <c:v>402885.378207332</c:v>
                </c:pt>
                <c:pt idx="12">
                  <c:v>404850.223099845</c:v>
                </c:pt>
                <c:pt idx="13">
                  <c:v>405731.720997716</c:v>
                </c:pt>
                <c:pt idx="14">
                  <c:v>405641.187860336</c:v>
                </c:pt>
                <c:pt idx="15">
                  <c:v>404723.385299427</c:v>
                </c:pt>
                <c:pt idx="16">
                  <c:v>403131.623443367</c:v>
                </c:pt>
                <c:pt idx="17">
                  <c:v>401006.369246658</c:v>
                </c:pt>
                <c:pt idx="18">
                  <c:v>398459.834597859</c:v>
                </c:pt>
                <c:pt idx="19">
                  <c:v>395568.414456369</c:v>
                </c:pt>
                <c:pt idx="20">
                  <c:v>392374.303167211</c:v>
                </c:pt>
                <c:pt idx="21">
                  <c:v>388896.770711802</c:v>
                </c:pt>
                <c:pt idx="22">
                  <c:v>385152.082404778</c:v>
                </c:pt>
                <c:pt idx="23">
                  <c:v>381179.098641182</c:v>
                </c:pt>
                <c:pt idx="24">
                  <c:v>377065.747861356</c:v>
                </c:pt>
                <c:pt idx="25">
                  <c:v>372970.174551499</c:v>
                </c:pt>
                <c:pt idx="26">
                  <c:v>369129.5511636</c:v>
                </c:pt>
                <c:pt idx="27">
                  <c:v>365849.847432053</c:v>
                </c:pt>
                <c:pt idx="28">
                  <c:v>363472.52544914</c:v>
                </c:pt>
                <c:pt idx="29">
                  <c:v>362320.163753402</c:v>
                </c:pt>
                <c:pt idx="30">
                  <c:v>362631.384391472</c:v>
                </c:pt>
                <c:pt idx="31">
                  <c:v>364502.452044508</c:v>
                </c:pt>
                <c:pt idx="32">
                  <c:v>367853.923071053</c:v>
                </c:pt>
                <c:pt idx="33">
                  <c:v>372433.640172521</c:v>
                </c:pt>
                <c:pt idx="34">
                  <c:v>377854.858649853</c:v>
                </c:pt>
                <c:pt idx="35">
                  <c:v>383656.626626531</c:v>
                </c:pt>
                <c:pt idx="36">
                  <c:v>389368.535430523</c:v>
                </c:pt>
                <c:pt idx="37">
                  <c:v>394565.090181077</c:v>
                </c:pt>
                <c:pt idx="38">
                  <c:v>398902.798076651</c:v>
                </c:pt>
                <c:pt idx="39">
                  <c:v>402140.306653343</c:v>
                </c:pt>
                <c:pt idx="40">
                  <c:v>404145.233914094</c:v>
                </c:pt>
                <c:pt idx="41">
                  <c:v>404891.057580602</c:v>
                </c:pt>
                <c:pt idx="42">
                  <c:v>404446.06300618</c:v>
                </c:pt>
                <c:pt idx="43">
                  <c:v>402955.814450084</c:v>
                </c:pt>
                <c:pt idx="44">
                  <c:v>400620.956058446</c:v>
                </c:pt>
                <c:pt idx="45">
                  <c:v>397672.406131795</c:v>
                </c:pt>
                <c:pt idx="46">
                  <c:v>394345.820954418</c:v>
                </c:pt>
                <c:pt idx="47">
                  <c:v>390857.23618829</c:v>
                </c:pt>
                <c:pt idx="48">
                  <c:v>387382.658140221</c:v>
                </c:pt>
                <c:pt idx="49">
                  <c:v>384045.500729688</c:v>
                </c:pt>
                <c:pt idx="50">
                  <c:v>380915.638308961</c:v>
                </c:pt>
                <c:pt idx="51">
                  <c:v>378021.49890644</c:v>
                </c:pt>
                <c:pt idx="52">
                  <c:v>375372.744938648</c:v>
                </c:pt>
                <c:pt idx="53">
                  <c:v>372987.576656649</c:v>
                </c:pt>
                <c:pt idx="54">
                  <c:v>370917.106795615</c:v>
                </c:pt>
                <c:pt idx="55">
                  <c:v>369259.781143645</c:v>
                </c:pt>
                <c:pt idx="56">
                  <c:v>368160.723586173</c:v>
                </c:pt>
                <c:pt idx="57">
                  <c:v>367793.704701095</c:v>
                </c:pt>
                <c:pt idx="58">
                  <c:v>368327.376348401</c:v>
                </c:pt>
                <c:pt idx="59">
                  <c:v>369882.385744718</c:v>
                </c:pt>
                <c:pt idx="60">
                  <c:v>372490.434521365</c:v>
                </c:pt>
                <c:pt idx="61">
                  <c:v>376067.613648458</c:v>
                </c:pt>
                <c:pt idx="62">
                  <c:v>380410.650423357</c:v>
                </c:pt>
                <c:pt idx="63">
                  <c:v>385217.1222716</c:v>
                </c:pt>
                <c:pt idx="64">
                  <c:v>390122.973474267</c:v>
                </c:pt>
                <c:pt idx="65">
                  <c:v>394746.732547651</c:v>
                </c:pt>
                <c:pt idx="66">
                  <c:v>398730.955224241</c:v>
                </c:pt>
                <c:pt idx="67">
                  <c:v>401775.608739572</c:v>
                </c:pt>
                <c:pt idx="68">
                  <c:v>403662.053956341</c:v>
                </c:pt>
                <c:pt idx="69">
                  <c:v>404268.042213051</c:v>
                </c:pt>
                <c:pt idx="70">
                  <c:v>403574.174336625</c:v>
                </c:pt>
                <c:pt idx="71">
                  <c:v>401662.115098474</c:v>
                </c:pt>
                <c:pt idx="72">
                  <c:v>398705.23834934</c:v>
                </c:pt>
                <c:pt idx="73">
                  <c:v>394952.694362158</c:v>
                </c:pt>
                <c:pt idx="74">
                  <c:v>390707.453992208</c:v>
                </c:pt>
                <c:pt idx="75">
                  <c:v>386298.257017935</c:v>
                </c:pt>
                <c:pt idx="76">
                  <c:v>382046.108354724</c:v>
                </c:pt>
                <c:pt idx="77">
                  <c:v>378228.767742256</c:v>
                </c:pt>
                <c:pt idx="78">
                  <c:v>375050.166467225</c:v>
                </c:pt>
                <c:pt idx="79">
                  <c:v>372623.027990275</c:v>
                </c:pt>
                <c:pt idx="80">
                  <c:v>370970.256364554</c:v>
                </c:pt>
                <c:pt idx="81">
                  <c:v>370044.715029349</c:v>
                </c:pt>
                <c:pt idx="82">
                  <c:v>369760.943566772</c:v>
                </c:pt>
                <c:pt idx="83">
                  <c:v>370029.162215741</c:v>
                </c:pt>
                <c:pt idx="84">
                  <c:v>370782.458299262</c:v>
                </c:pt>
                <c:pt idx="85">
                  <c:v>371991.027881143</c:v>
                </c:pt>
                <c:pt idx="86">
                  <c:v>373660.958437821</c:v>
                </c:pt>
                <c:pt idx="87">
                  <c:v>375818.473554134</c:v>
                </c:pt>
                <c:pt idx="88">
                  <c:v>378483.887681704</c:v>
                </c:pt>
                <c:pt idx="89">
                  <c:v>381642.471792001</c:v>
                </c:pt>
                <c:pt idx="90">
                  <c:v>385220.785359909</c:v>
                </c:pt>
                <c:pt idx="91">
                  <c:v>389075.506819948</c:v>
                </c:pt>
                <c:pt idx="92">
                  <c:v>392997.581978391</c:v>
                </c:pt>
                <c:pt idx="93">
                  <c:v>396729.651258855</c:v>
                </c:pt>
                <c:pt idx="94">
                  <c:v>399991.705650065</c:v>
                </c:pt>
                <c:pt idx="95">
                  <c:v>402509.755175092</c:v>
                </c:pt>
                <c:pt idx="96">
                  <c:v>404043.878907928</c:v>
                </c:pt>
                <c:pt idx="97">
                  <c:v>404413.477515481</c:v>
                </c:pt>
                <c:pt idx="98">
                  <c:v>403517.999131513</c:v>
                </c:pt>
                <c:pt idx="99">
                  <c:v>401351.470011045</c:v>
                </c:pt>
                <c:pt idx="100">
                  <c:v>398009.719199065</c:v>
                </c:pt>
                <c:pt idx="101">
                  <c:v>393690.036152495</c:v>
                </c:pt>
                <c:pt idx="102">
                  <c:v>388683.006366079</c:v>
                </c:pt>
                <c:pt idx="103">
                  <c:v>383354.984221555</c:v>
                </c:pt>
                <c:pt idx="104">
                  <c:v>378118.53351332</c:v>
                </c:pt>
                <c:pt idx="105">
                  <c:v>373389.666562197</c:v>
                </c:pt>
                <c:pt idx="106">
                  <c:v>369535.838615106</c:v>
                </c:pt>
                <c:pt idx="107">
                  <c:v>366825.186998015</c:v>
                </c:pt>
                <c:pt idx="108">
                  <c:v>365391.036731781</c:v>
                </c:pt>
                <c:pt idx="109">
                  <c:v>365222.914098194</c:v>
                </c:pt>
                <c:pt idx="110">
                  <c:v>366186.800306061</c:v>
                </c:pt>
                <c:pt idx="111">
                  <c:v>368067.429615489</c:v>
                </c:pt>
                <c:pt idx="112">
                  <c:v>370619.095044173</c:v>
                </c:pt>
                <c:pt idx="113">
                  <c:v>373611.043312435</c:v>
                </c:pt>
                <c:pt idx="114">
                  <c:v>376857.875642974</c:v>
                </c:pt>
                <c:pt idx="115">
                  <c:v>380231.293284112</c:v>
                </c:pt>
                <c:pt idx="116">
                  <c:v>383654.528121979</c:v>
                </c:pt>
                <c:pt idx="117">
                  <c:v>387084.097218481</c:v>
                </c:pt>
                <c:pt idx="118">
                  <c:v>390485.351198672</c:v>
                </c:pt>
                <c:pt idx="119">
                  <c:v>393808.751036664</c:v>
                </c:pt>
                <c:pt idx="120">
                  <c:v>396972.68321583</c:v>
                </c:pt>
                <c:pt idx="121">
                  <c:v>399856.095398932</c:v>
                </c:pt>
                <c:pt idx="122">
                  <c:v>402301.349807511</c:v>
                </c:pt>
                <c:pt idx="123">
                  <c:v>404125.734898136</c:v>
                </c:pt>
                <c:pt idx="124">
                  <c:v>405139.479833432</c:v>
                </c:pt>
                <c:pt idx="125">
                  <c:v>405168.174127518</c:v>
                </c:pt>
                <c:pt idx="126">
                  <c:v>404077.284831162</c:v>
                </c:pt>
                <c:pt idx="127">
                  <c:v>401795.946131567</c:v>
                </c:pt>
                <c:pt idx="128">
                  <c:v>398337.161508093</c:v>
                </c:pt>
                <c:pt idx="129">
                  <c:v>393812.407911605</c:v>
                </c:pt>
                <c:pt idx="130">
                  <c:v>388439.462692558</c:v>
                </c:pt>
                <c:pt idx="131">
                  <c:v>382541.627523703</c:v>
                </c:pt>
                <c:pt idx="132">
                  <c:v>376534.327078097</c:v>
                </c:pt>
                <c:pt idx="133">
                  <c:v>370893.667816589</c:v>
                </c:pt>
                <c:pt idx="134">
                  <c:v>366104.241518248</c:v>
                </c:pt>
                <c:pt idx="135">
                  <c:v>362591.265601429</c:v>
                </c:pt>
                <c:pt idx="136">
                  <c:v>360651.785608485</c:v>
                </c:pt>
                <c:pt idx="137">
                  <c:v>360405.017222139</c:v>
                </c:pt>
                <c:pt idx="138">
                  <c:v>361778.355747465</c:v>
                </c:pt>
                <c:pt idx="139">
                  <c:v>364533.761395758</c:v>
                </c:pt>
                <c:pt idx="140">
                  <c:v>368325.026270441</c:v>
                </c:pt>
                <c:pt idx="141">
                  <c:v>372767.085274839</c:v>
                </c:pt>
                <c:pt idx="142">
                  <c:v>377497.918908261</c:v>
                </c:pt>
                <c:pt idx="143">
                  <c:v>382220.26636463</c:v>
                </c:pt>
                <c:pt idx="144">
                  <c:v>386719.482429449</c:v>
                </c:pt>
                <c:pt idx="145">
                  <c:v>390860.917434259</c:v>
                </c:pt>
                <c:pt idx="146">
                  <c:v>394573.440732082</c:v>
                </c:pt>
                <c:pt idx="147">
                  <c:v>397826.006043283</c:v>
                </c:pt>
                <c:pt idx="148">
                  <c:v>400603.096207182</c:v>
                </c:pt>
                <c:pt idx="149">
                  <c:v>402883.49164364</c:v>
                </c:pt>
                <c:pt idx="150">
                  <c:v>404625.368896386</c:v>
                </c:pt>
                <c:pt idx="151">
                  <c:v>405759.385620622</c:v>
                </c:pt>
                <c:pt idx="152">
                  <c:v>406190.339656717</c:v>
                </c:pt>
                <c:pt idx="153">
                  <c:v>405807.186146146</c:v>
                </c:pt>
                <c:pt idx="154">
                  <c:v>404500.337438493</c:v>
                </c:pt>
                <c:pt idx="155">
                  <c:v>402184.080623005</c:v>
                </c:pt>
                <c:pt idx="156">
                  <c:v>398821.040188714</c:v>
                </c:pt>
                <c:pt idx="157">
                  <c:v>394445.543910187</c:v>
                </c:pt>
                <c:pt idx="158">
                  <c:v>389183.436989976</c:v>
                </c:pt>
                <c:pt idx="159">
                  <c:v>383266.11092113</c:v>
                </c:pt>
                <c:pt idx="160">
                  <c:v>377035.006297354</c:v>
                </c:pt>
                <c:pt idx="161">
                  <c:v>370930.184280213</c:v>
                </c:pt>
                <c:pt idx="162">
                  <c:v>365455.745758813</c:v>
                </c:pt>
                <c:pt idx="163">
                  <c:v>361119.342676537</c:v>
                </c:pt>
                <c:pt idx="164">
                  <c:v>358353.174278262</c:v>
                </c:pt>
                <c:pt idx="165">
                  <c:v>357435.249219385</c:v>
                </c:pt>
                <c:pt idx="166">
                  <c:v>358435.130337605</c:v>
                </c:pt>
                <c:pt idx="167">
                  <c:v>361202.936005098</c:v>
                </c:pt>
                <c:pt idx="168">
                  <c:v>365405.483799588</c:v>
                </c:pt>
                <c:pt idx="169">
                  <c:v>370596.582290645</c:v>
                </c:pt>
                <c:pt idx="170">
                  <c:v>376298.274668427</c:v>
                </c:pt>
                <c:pt idx="171">
                  <c:v>382070.563715431</c:v>
                </c:pt>
                <c:pt idx="172">
                  <c:v>387556.414325533</c:v>
                </c:pt>
                <c:pt idx="173">
                  <c:v>392500.149380623</c:v>
                </c:pt>
                <c:pt idx="174">
                  <c:v>396744.966161603</c:v>
                </c:pt>
                <c:pt idx="175">
                  <c:v>400217.424431557</c:v>
                </c:pt>
                <c:pt idx="176">
                  <c:v>402905.307631249</c:v>
                </c:pt>
                <c:pt idx="177">
                  <c:v>404833.171800299</c:v>
                </c:pt>
                <c:pt idx="178">
                  <c:v>406038.77195661</c:v>
                </c:pt>
                <c:pt idx="179">
                  <c:v>406553.24922143</c:v>
                </c:pt>
                <c:pt idx="180">
                  <c:v>406387.6627432</c:v>
                </c:pt>
                <c:pt idx="181">
                  <c:v>405527.713896393</c:v>
                </c:pt>
                <c:pt idx="182">
                  <c:v>403937.407494855</c:v>
                </c:pt>
                <c:pt idx="183">
                  <c:v>401571.149099744</c:v>
                </c:pt>
                <c:pt idx="184">
                  <c:v>398392.594201037</c:v>
                </c:pt>
                <c:pt idx="185">
                  <c:v>394397.713933049</c:v>
                </c:pt>
                <c:pt idx="186">
                  <c:v>389639.223429059</c:v>
                </c:pt>
                <c:pt idx="187">
                  <c:v>384249.428940229</c:v>
                </c:pt>
                <c:pt idx="188">
                  <c:v>378457.813365771</c:v>
                </c:pt>
                <c:pt idx="189">
                  <c:v>372597.748217963</c:v>
                </c:pt>
                <c:pt idx="190">
                  <c:v>367094.670091275</c:v>
                </c:pt>
                <c:pt idx="191">
                  <c:v>362428.730253864</c:v>
                </c:pt>
                <c:pt idx="192">
                  <c:v>359070.942342923</c:v>
                </c:pt>
                <c:pt idx="193">
                  <c:v>357402.676786795</c:v>
                </c:pt>
                <c:pt idx="194">
                  <c:v>357639.071958157</c:v>
                </c:pt>
                <c:pt idx="195">
                  <c:v>359780.664376572</c:v>
                </c:pt>
                <c:pt idx="196">
                  <c:v>363610.259844282</c:v>
                </c:pt>
                <c:pt idx="197">
                  <c:v>368736.197172595</c:v>
                </c:pt>
                <c:pt idx="198">
                  <c:v>374666.681639144</c:v>
                </c:pt>
                <c:pt idx="199">
                  <c:v>380891.238640634</c:v>
                </c:pt>
                <c:pt idx="200">
                  <c:v>386947.951901665</c:v>
                </c:pt>
                <c:pt idx="201">
                  <c:v>392465.58924711</c:v>
                </c:pt>
                <c:pt idx="202">
                  <c:v>397180.882842866</c:v>
                </c:pt>
                <c:pt idx="203">
                  <c:v>400937.530658222</c:v>
                </c:pt>
                <c:pt idx="204">
                  <c:v>403673.983843683</c:v>
                </c:pt>
                <c:pt idx="205">
                  <c:v>405404.65048378</c:v>
                </c:pt>
                <c:pt idx="206">
                  <c:v>406197.159657042</c:v>
                </c:pt>
                <c:pt idx="207">
                  <c:v>406148.080302479</c:v>
                </c:pt>
                <c:pt idx="208">
                  <c:v>405360.099780641</c:v>
                </c:pt>
                <c:pt idx="209">
                  <c:v>403923.789654629</c:v>
                </c:pt>
                <c:pt idx="210">
                  <c:v>401906.322830749</c:v>
                </c:pt>
                <c:pt idx="211">
                  <c:v>399348.381819751</c:v>
                </c:pt>
                <c:pt idx="212">
                  <c:v>396269.546469843</c:v>
                </c:pt>
                <c:pt idx="213">
                  <c:v>392681.659204804</c:v>
                </c:pt>
                <c:pt idx="214">
                  <c:v>388608.741358737</c:v>
                </c:pt>
                <c:pt idx="215">
                  <c:v>384110.869383531</c:v>
                </c:pt>
                <c:pt idx="216">
                  <c:v>379308.115957351</c:v>
                </c:pt>
                <c:pt idx="217">
                  <c:v>374399.270557613</c:v>
                </c:pt>
                <c:pt idx="218">
                  <c:v>369668.722650074</c:v>
                </c:pt>
                <c:pt idx="219">
                  <c:v>365474.464614979</c:v>
                </c:pt>
                <c:pt idx="220">
                  <c:v>362212.345716188</c:v>
                </c:pt>
                <c:pt idx="221">
                  <c:v>360257.842140159</c:v>
                </c:pt>
                <c:pt idx="222">
                  <c:v>359895.758730458</c:v>
                </c:pt>
                <c:pt idx="223">
                  <c:v>361256.391591639</c:v>
                </c:pt>
                <c:pt idx="224">
                  <c:v>364278.466570159</c:v>
                </c:pt>
                <c:pt idx="225">
                  <c:v>368711.879260341</c:v>
                </c:pt>
                <c:pt idx="226">
                  <c:v>374159.441846092</c:v>
                </c:pt>
                <c:pt idx="227">
                  <c:v>380143.393814012</c:v>
                </c:pt>
                <c:pt idx="228">
                  <c:v>386176.231371114</c:v>
                </c:pt>
                <c:pt idx="229">
                  <c:v>391818.711756136</c:v>
                </c:pt>
                <c:pt idx="230">
                  <c:v>396717.156382318</c:v>
                </c:pt>
                <c:pt idx="231">
                  <c:v>400621.130014084</c:v>
                </c:pt>
                <c:pt idx="232">
                  <c:v>403386.807627826</c:v>
                </c:pt>
                <c:pt idx="233">
                  <c:v>404970.791323796</c:v>
                </c:pt>
                <c:pt idx="234">
                  <c:v>405416.836659588</c:v>
                </c:pt>
                <c:pt idx="235">
                  <c:v>404836.777272161</c:v>
                </c:pt>
                <c:pt idx="236">
                  <c:v>403387.475604179</c:v>
                </c:pt>
                <c:pt idx="237">
                  <c:v>401246.584109994</c:v>
                </c:pt>
                <c:pt idx="238">
                  <c:v>398590.059587504</c:v>
                </c:pt>
                <c:pt idx="239">
                  <c:v>395573.81111952</c:v>
                </c:pt>
                <c:pt idx="240">
                  <c:v>392321.419874872</c:v>
                </c:pt>
                <c:pt idx="241">
                  <c:v>388919.842404158</c:v>
                </c:pt>
                <c:pt idx="242">
                  <c:v>385424.691987088</c:v>
                </c:pt>
                <c:pt idx="243">
                  <c:v>381875.221045532</c:v>
                </c:pt>
                <c:pt idx="244">
                  <c:v>378316.556460857</c:v>
                </c:pt>
                <c:pt idx="245">
                  <c:v>374824.116317301</c:v>
                </c:pt>
                <c:pt idx="246">
                  <c:v>371523.580078784</c:v>
                </c:pt>
                <c:pt idx="247">
                  <c:v>368599.707497989</c:v>
                </c:pt>
                <c:pt idx="248">
                  <c:v>366288.621282119</c:v>
                </c:pt>
                <c:pt idx="249">
                  <c:v>364851.017222595</c:v>
                </c:pt>
                <c:pt idx="250">
                  <c:v>364528.497805706</c:v>
                </c:pt>
                <c:pt idx="251">
                  <c:v>365491.359124423</c:v>
                </c:pt>
                <c:pt idx="252">
                  <c:v>367791.428401046</c:v>
                </c:pt>
                <c:pt idx="253">
                  <c:v>371334.608918336</c:v>
                </c:pt>
                <c:pt idx="254">
                  <c:v>375882.64780441</c:v>
                </c:pt>
                <c:pt idx="255">
                  <c:v>381083.847327601</c:v>
                </c:pt>
                <c:pt idx="256">
                  <c:v>386522.781804904</c:v>
                </c:pt>
                <c:pt idx="257">
                  <c:v>391774.545807866</c:v>
                </c:pt>
                <c:pt idx="258">
                  <c:v>396451.337390882</c:v>
                </c:pt>
                <c:pt idx="259">
                  <c:v>400235.654361997</c:v>
                </c:pt>
                <c:pt idx="260">
                  <c:v>402900.41923763</c:v>
                </c:pt>
                <c:pt idx="261">
                  <c:v>404318.866143271</c:v>
                </c:pt>
                <c:pt idx="262">
                  <c:v>404466.292927351</c:v>
                </c:pt>
                <c:pt idx="263">
                  <c:v>403414.247443358</c:v>
                </c:pt>
                <c:pt idx="264">
                  <c:v>401317.348755806</c:v>
                </c:pt>
                <c:pt idx="265">
                  <c:v>398393.743991812</c:v>
                </c:pt>
                <c:pt idx="266">
                  <c:v>394900.972137306</c:v>
                </c:pt>
                <c:pt idx="267">
                  <c:v>391109.124999378</c:v>
                </c:pt>
                <c:pt idx="268">
                  <c:v>387273.313243033</c:v>
                </c:pt>
                <c:pt idx="269">
                  <c:v>383608.437555982</c:v>
                </c:pt>
                <c:pt idx="270">
                  <c:v>380270.781743827</c:v>
                </c:pt>
                <c:pt idx="271">
                  <c:v>377351.332486199</c:v>
                </c:pt>
                <c:pt idx="272">
                  <c:v>374883.563829968</c:v>
                </c:pt>
                <c:pt idx="273">
                  <c:v>372864.083191009</c:v>
                </c:pt>
                <c:pt idx="274">
                  <c:v>371280.156240906</c:v>
                </c:pt>
                <c:pt idx="275">
                  <c:v>370135.931121461</c:v>
                </c:pt>
                <c:pt idx="276">
                  <c:v>369469.835110635</c:v>
                </c:pt>
                <c:pt idx="277">
                  <c:v>369358.168557707</c:v>
                </c:pt>
                <c:pt idx="278">
                  <c:v>369903.130398636</c:v>
                </c:pt>
                <c:pt idx="279">
                  <c:v>371206.952623731</c:v>
                </c:pt>
                <c:pt idx="280">
                  <c:v>373337.568290348</c:v>
                </c:pt>
                <c:pt idx="281">
                  <c:v>376294.646632273</c:v>
                </c:pt>
                <c:pt idx="282">
                  <c:v>379986.128348195</c:v>
                </c:pt>
                <c:pt idx="283">
                  <c:v>384222.934828096</c:v>
                </c:pt>
                <c:pt idx="284">
                  <c:v>388733.6378279</c:v>
                </c:pt>
                <c:pt idx="285">
                  <c:v>393194.332797055</c:v>
                </c:pt>
                <c:pt idx="286">
                  <c:v>397265.214038636</c:v>
                </c:pt>
                <c:pt idx="287">
                  <c:v>400625.949580846</c:v>
                </c:pt>
                <c:pt idx="288">
                  <c:v>403005.458617671</c:v>
                </c:pt>
                <c:pt idx="289">
                  <c:v>404205.102359907</c:v>
                </c:pt>
                <c:pt idx="290">
                  <c:v>404115.59750547</c:v>
                </c:pt>
                <c:pt idx="291">
                  <c:v>402727.438927862</c:v>
                </c:pt>
                <c:pt idx="292">
                  <c:v>400133.913154532</c:v>
                </c:pt>
                <c:pt idx="293">
                  <c:v>396525.927066574</c:v>
                </c:pt>
                <c:pt idx="294">
                  <c:v>392178.44519009</c:v>
                </c:pt>
                <c:pt idx="295">
                  <c:v>387428.461622192</c:v>
                </c:pt>
                <c:pt idx="296">
                  <c:v>382644.337384136</c:v>
                </c:pt>
                <c:pt idx="297">
                  <c:v>378187.391599323</c:v>
                </c:pt>
                <c:pt idx="298">
                  <c:v>374369.771007691</c:v>
                </c:pt>
                <c:pt idx="299">
                  <c:v>371416.660252167</c:v>
                </c:pt>
                <c:pt idx="300">
                  <c:v>369442.856973468</c:v>
                </c:pt>
                <c:pt idx="301">
                  <c:v>368451.171696808</c:v>
                </c:pt>
                <c:pt idx="302">
                  <c:v>368353.409166924</c:v>
                </c:pt>
                <c:pt idx="303">
                  <c:v>369007.135516517</c:v>
                </c:pt>
                <c:pt idx="304">
                  <c:v>370256.885058405</c:v>
                </c:pt>
                <c:pt idx="305">
                  <c:v>371968.629276787</c:v>
                </c:pt>
                <c:pt idx="306">
                  <c:v>374050.05178348</c:v>
                </c:pt>
                <c:pt idx="307">
                  <c:v>376453.940792965</c:v>
                </c:pt>
                <c:pt idx="308">
                  <c:v>379166.077554248</c:v>
                </c:pt>
                <c:pt idx="309">
                  <c:v>382182.067125915</c:v>
                </c:pt>
                <c:pt idx="310">
                  <c:v>385479.822966348</c:v>
                </c:pt>
                <c:pt idx="311">
                  <c:v>388995.453223788</c:v>
                </c:pt>
                <c:pt idx="312">
                  <c:v>392609.21225455</c:v>
                </c:pt>
                <c:pt idx="313">
                  <c:v>396144.842420841</c:v>
                </c:pt>
                <c:pt idx="314">
                  <c:v>399381.424394686</c:v>
                </c:pt>
                <c:pt idx="315">
                  <c:v>402073.89863423</c:v>
                </c:pt>
                <c:pt idx="316">
                  <c:v>403977.879696008</c:v>
                </c:pt>
                <c:pt idx="317">
                  <c:v>404875.580718657</c:v>
                </c:pt>
                <c:pt idx="318">
                  <c:v>404600.917147587</c:v>
                </c:pt>
                <c:pt idx="319">
                  <c:v>403062.147405508</c:v>
                </c:pt>
                <c:pt idx="320">
                  <c:v>400260.11335897</c:v>
                </c:pt>
                <c:pt idx="321">
                  <c:v>396300.164964285</c:v>
                </c:pt>
                <c:pt idx="322">
                  <c:v>391396.260589157</c:v>
                </c:pt>
                <c:pt idx="323">
                  <c:v>385865.643120347</c:v>
                </c:pt>
                <c:pt idx="324">
                  <c:v>380111.457603336</c:v>
                </c:pt>
                <c:pt idx="325">
                  <c:v>374589.997451524</c:v>
                </c:pt>
                <c:pt idx="326">
                  <c:v>369761.37201225</c:v>
                </c:pt>
                <c:pt idx="327">
                  <c:v>366028.38933878</c:v>
                </c:pt>
                <c:pt idx="328">
                  <c:v>363676.10661946</c:v>
                </c:pt>
                <c:pt idx="329">
                  <c:v>362828.948163907</c:v>
                </c:pt>
                <c:pt idx="330">
                  <c:v>363439.450873429</c:v>
                </c:pt>
                <c:pt idx="331">
                  <c:v>365312.714327888</c:v>
                </c:pt>
                <c:pt idx="332">
                  <c:v>368158.289395997</c:v>
                </c:pt>
                <c:pt idx="333">
                  <c:v>371652.823768752</c:v>
                </c:pt>
                <c:pt idx="334">
                  <c:v>375495.904139444</c:v>
                </c:pt>
                <c:pt idx="335">
                  <c:v>379447.182573205</c:v>
                </c:pt>
                <c:pt idx="336">
                  <c:v>383340.937431322</c:v>
                </c:pt>
                <c:pt idx="337">
                  <c:v>387080.750625282</c:v>
                </c:pt>
                <c:pt idx="338">
                  <c:v>390620.40701203</c:v>
                </c:pt>
                <c:pt idx="339">
                  <c:v>393938.036388963</c:v>
                </c:pt>
                <c:pt idx="340">
                  <c:v>397010.078468076</c:v>
                </c:pt>
                <c:pt idx="341">
                  <c:v>399790.421542885</c:v>
                </c:pt>
                <c:pt idx="342">
                  <c:v>402198.170875287</c:v>
                </c:pt>
                <c:pt idx="343">
                  <c:v>404115.310764317</c:v>
                </c:pt>
                <c:pt idx="344">
                  <c:v>405393.736933335</c:v>
                </c:pt>
                <c:pt idx="345">
                  <c:v>405870.177537327</c:v>
                </c:pt>
                <c:pt idx="346">
                  <c:v>405387.115147851</c:v>
                </c:pt>
                <c:pt idx="347">
                  <c:v>403817.409613788</c:v>
                </c:pt>
                <c:pt idx="348">
                  <c:v>401089.834195519</c:v>
                </c:pt>
                <c:pt idx="349">
                  <c:v>397212.669267472</c:v>
                </c:pt>
                <c:pt idx="350">
                  <c:v>392293.043006218</c:v>
                </c:pt>
                <c:pt idx="351">
                  <c:v>386550.034043541</c:v>
                </c:pt>
                <c:pt idx="352">
                  <c:v>380318.432734099</c:v>
                </c:pt>
                <c:pt idx="353">
                  <c:v>374037.628451314</c:v>
                </c:pt>
                <c:pt idx="354">
                  <c:v>368218.839065436</c:v>
                </c:pt>
                <c:pt idx="355">
                  <c:v>363387.251718177</c:v>
                </c:pt>
                <c:pt idx="356">
                  <c:v>360004.705897288</c:v>
                </c:pt>
                <c:pt idx="357">
                  <c:v>358389.817180072</c:v>
                </c:pt>
                <c:pt idx="358">
                  <c:v>358659.094250252</c:v>
                </c:pt>
                <c:pt idx="359">
                  <c:v>360709.090511379</c:v>
                </c:pt>
                <c:pt idx="360">
                  <c:v>364246.130228026</c:v>
                </c:pt>
                <c:pt idx="361">
                  <c:v>368853.141750174</c:v>
                </c:pt>
                <c:pt idx="362">
                  <c:v>374071.341133801</c:v>
                </c:pt>
                <c:pt idx="363">
                  <c:v>379473.221501205</c:v>
                </c:pt>
                <c:pt idx="364">
                  <c:v>384711.370474459</c:v>
                </c:pt>
                <c:pt idx="365">
                  <c:v>389539.157000857</c:v>
                </c:pt>
              </c:numCache>
            </c:numRef>
          </c:yVal>
          <c:smooth val="0"/>
        </c:ser>
        <c:axId val="29857407"/>
        <c:axId val="13086185"/>
      </c:scatterChart>
      <c:valAx>
        <c:axId val="29857407"/>
        <c:scaling>
          <c:orientation val="minMax"/>
          <c:max val="366"/>
          <c:min val="1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901896075843034"/>
              <c:y val="0.866972925422735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3086185"/>
        <c:crosses val="autoZero"/>
        <c:crossBetween val="midCat"/>
        <c:majorUnit val="30"/>
      </c:valAx>
      <c:valAx>
        <c:axId val="13086185"/>
        <c:scaling>
          <c:orientation val="minMax"/>
          <c:max val="410000"/>
          <c:min val="35000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0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9857407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Topocentric Distance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785531489919"/>
          <c:y val="0.119432749833813"/>
          <c:w val="0.857187441483054"/>
          <c:h val="0.78827830711278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00ff"/>
            </a:solidFill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calc!$K$2:$K$367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calc!$BE$2:$BE$367</c:f>
              <c:numCache>
                <c:formatCode>General</c:formatCode>
                <c:ptCount val="366"/>
                <c:pt idx="0">
                  <c:v>363698.523623468</c:v>
                </c:pt>
                <c:pt idx="1">
                  <c:v>363501.252922391</c:v>
                </c:pt>
                <c:pt idx="2">
                  <c:v>364861.90456191</c:v>
                </c:pt>
                <c:pt idx="3">
                  <c:v>367705.213989981</c:v>
                </c:pt>
                <c:pt idx="4">
                  <c:v>371778.157783672</c:v>
                </c:pt>
                <c:pt idx="5">
                  <c:v>376693.740109148</c:v>
                </c:pt>
                <c:pt idx="6">
                  <c:v>381997.363760567</c:v>
                </c:pt>
                <c:pt idx="7">
                  <c:v>387236.025788104</c:v>
                </c:pt>
                <c:pt idx="8">
                  <c:v>392013.85786089</c:v>
                </c:pt>
                <c:pt idx="9">
                  <c:v>396026.540558718</c:v>
                </c:pt>
                <c:pt idx="10">
                  <c:v>399075.804507669</c:v>
                </c:pt>
                <c:pt idx="11">
                  <c:v>401069.344711636</c:v>
                </c:pt>
                <c:pt idx="12">
                  <c:v>402011.013599262</c:v>
                </c:pt>
                <c:pt idx="13">
                  <c:v>401984.029241086</c:v>
                </c:pt>
                <c:pt idx="14">
                  <c:v>401128.824586124</c:v>
                </c:pt>
                <c:pt idx="15">
                  <c:v>399617.60251154</c:v>
                </c:pt>
                <c:pt idx="16">
                  <c:v>397628.525503621</c:v>
                </c:pt>
                <c:pt idx="17">
                  <c:v>395322.710412247</c:v>
                </c:pt>
                <c:pt idx="18">
                  <c:v>392826.811988122</c:v>
                </c:pt>
                <c:pt idx="19">
                  <c:v>390223.492470735</c:v>
                </c:pt>
                <c:pt idx="20">
                  <c:v>387551.577361806</c:v>
                </c:pt>
                <c:pt idx="21">
                  <c:v>384816.682366241</c:v>
                </c:pt>
                <c:pt idx="22">
                  <c:v>382011.204679488</c:v>
                </c:pt>
                <c:pt idx="23">
                  <c:v>379140.209956925</c:v>
                </c:pt>
                <c:pt idx="24">
                  <c:v>376247.800341945</c:v>
                </c:pt>
                <c:pt idx="25">
                  <c:v>373437.611819459</c:v>
                </c:pt>
                <c:pt idx="26">
                  <c:v>370881.206915707</c:v>
                </c:pt>
                <c:pt idx="27">
                  <c:v>368809.324550419</c:v>
                </c:pt>
                <c:pt idx="28">
                  <c:v>367483.68450466</c:v>
                </c:pt>
                <c:pt idx="29">
                  <c:v>367151.775058345</c:v>
                </c:pt>
                <c:pt idx="30">
                  <c:v>367993.152706583</c:v>
                </c:pt>
                <c:pt idx="31">
                  <c:v>370070.95838218</c:v>
                </c:pt>
                <c:pt idx="32">
                  <c:v>373303.408573297</c:v>
                </c:pt>
                <c:pt idx="33">
                  <c:v>377464.944688768</c:v>
                </c:pt>
                <c:pt idx="34">
                  <c:v>382216.886137584</c:v>
                </c:pt>
                <c:pt idx="35">
                  <c:v>387157.623414507</c:v>
                </c:pt>
                <c:pt idx="36">
                  <c:v>391877.750933753</c:v>
                </c:pt>
                <c:pt idx="37">
                  <c:v>396007.746042431</c:v>
                </c:pt>
                <c:pt idx="38">
                  <c:v>399252.092397796</c:v>
                </c:pt>
                <c:pt idx="39">
                  <c:v>401409.575969686</c:v>
                </c:pt>
                <c:pt idx="40">
                  <c:v>402382.062789798</c:v>
                </c:pt>
                <c:pt idx="41">
                  <c:v>402173.796246561</c:v>
                </c:pt>
                <c:pt idx="42">
                  <c:v>400882.310171118</c:v>
                </c:pt>
                <c:pt idx="43">
                  <c:v>398681.984667934</c:v>
                </c:pt>
                <c:pt idx="44">
                  <c:v>395801.89554256</c:v>
                </c:pt>
                <c:pt idx="45">
                  <c:v>392499.969130151</c:v>
                </c:pt>
                <c:pt idx="46">
                  <c:v>389035.343400472</c:v>
                </c:pt>
                <c:pt idx="47">
                  <c:v>385641.060512147</c:v>
                </c:pt>
                <c:pt idx="48">
                  <c:v>382500.391567107</c:v>
                </c:pt>
                <c:pt idx="49">
                  <c:v>379731.482454593</c:v>
                </c:pt>
                <c:pt idx="50">
                  <c:v>377384.877665872</c:v>
                </c:pt>
                <c:pt idx="51">
                  <c:v>375455.756737123</c:v>
                </c:pt>
                <c:pt idx="52">
                  <c:v>373908.248748659</c:v>
                </c:pt>
                <c:pt idx="53">
                  <c:v>372705.234455645</c:v>
                </c:pt>
                <c:pt idx="54">
                  <c:v>371835.489416505</c:v>
                </c:pt>
                <c:pt idx="55">
                  <c:v>371331.054444631</c:v>
                </c:pt>
                <c:pt idx="56">
                  <c:v>371270.198782458</c:v>
                </c:pt>
                <c:pt idx="57">
                  <c:v>371764.252786631</c:v>
                </c:pt>
                <c:pt idx="58">
                  <c:v>372929.895696141</c:v>
                </c:pt>
                <c:pt idx="59">
                  <c:v>374852.433840866</c:v>
                </c:pt>
                <c:pt idx="60">
                  <c:v>377549.35800668</c:v>
                </c:pt>
                <c:pt idx="61">
                  <c:v>380944.895063656</c:v>
                </c:pt>
                <c:pt idx="62">
                  <c:v>384863.580829659</c:v>
                </c:pt>
                <c:pt idx="63">
                  <c:v>389044.656600313</c:v>
                </c:pt>
                <c:pt idx="64">
                  <c:v>393172.426501682</c:v>
                </c:pt>
                <c:pt idx="65">
                  <c:v>396914.033798867</c:v>
                </c:pt>
                <c:pt idx="66">
                  <c:v>399956.637499268</c:v>
                </c:pt>
                <c:pt idx="67">
                  <c:v>402039.100229292</c:v>
                </c:pt>
                <c:pt idx="68">
                  <c:v>402976.318764919</c:v>
                </c:pt>
                <c:pt idx="69">
                  <c:v>402675.685545781</c:v>
                </c:pt>
                <c:pt idx="70">
                  <c:v>401145.291280723</c:v>
                </c:pt>
                <c:pt idx="71">
                  <c:v>398493.628885621</c:v>
                </c:pt>
                <c:pt idx="72">
                  <c:v>394921.173330949</c:v>
                </c:pt>
                <c:pt idx="73">
                  <c:v>390704.574197312</c:v>
                </c:pt>
                <c:pt idx="74">
                  <c:v>386173.705152374</c:v>
                </c:pt>
                <c:pt idx="75">
                  <c:v>381681.228006788</c:v>
                </c:pt>
                <c:pt idx="76">
                  <c:v>377565.352155916</c:v>
                </c:pt>
                <c:pt idx="77">
                  <c:v>374109.851419629</c:v>
                </c:pt>
                <c:pt idx="78">
                  <c:v>371509.510923873</c:v>
                </c:pt>
                <c:pt idx="79">
                  <c:v>369850.778584814</c:v>
                </c:pt>
                <c:pt idx="80">
                  <c:v>369114.231288556</c:v>
                </c:pt>
                <c:pt idx="81">
                  <c:v>369198.419399956</c:v>
                </c:pt>
                <c:pt idx="82">
                  <c:v>369957.407340829</c:v>
                </c:pt>
                <c:pt idx="83">
                  <c:v>371240.643722952</c:v>
                </c:pt>
                <c:pt idx="84">
                  <c:v>372924.812617442</c:v>
                </c:pt>
                <c:pt idx="85">
                  <c:v>374931.283934758</c:v>
                </c:pt>
                <c:pt idx="86">
                  <c:v>377227.142176363</c:v>
                </c:pt>
                <c:pt idx="87">
                  <c:v>379811.281824121</c:v>
                </c:pt>
                <c:pt idx="88">
                  <c:v>382689.906994725</c:v>
                </c:pt>
                <c:pt idx="89">
                  <c:v>385848.169864008</c:v>
                </c:pt>
                <c:pt idx="90">
                  <c:v>389225.854928271</c:v>
                </c:pt>
                <c:pt idx="91">
                  <c:v>392703.844150937</c:v>
                </c:pt>
                <c:pt idx="92">
                  <c:v>396104.560613364</c:v>
                </c:pt>
                <c:pt idx="93">
                  <c:v>399205.293949972</c:v>
                </c:pt>
                <c:pt idx="94">
                  <c:v>401760.398048534</c:v>
                </c:pt>
                <c:pt idx="95">
                  <c:v>403527.797023907</c:v>
                </c:pt>
                <c:pt idx="96">
                  <c:v>404296.240791304</c:v>
                </c:pt>
                <c:pt idx="97">
                  <c:v>403910.781484283</c:v>
                </c:pt>
                <c:pt idx="98">
                  <c:v>402294.282255815</c:v>
                </c:pt>
                <c:pt idx="99">
                  <c:v>399462.945939412</c:v>
                </c:pt>
                <c:pt idx="100">
                  <c:v>395534.545119546</c:v>
                </c:pt>
                <c:pt idx="101">
                  <c:v>390728.885092357</c:v>
                </c:pt>
                <c:pt idx="102">
                  <c:v>385359.887884006</c:v>
                </c:pt>
                <c:pt idx="103">
                  <c:v>379817.234717094</c:v>
                </c:pt>
                <c:pt idx="104">
                  <c:v>374534.41159452</c:v>
                </c:pt>
                <c:pt idx="105">
                  <c:v>369941.928263739</c:v>
                </c:pt>
                <c:pt idx="106">
                  <c:v>366410.42845397</c:v>
                </c:pt>
                <c:pt idx="107">
                  <c:v>364195.833710974</c:v>
                </c:pt>
                <c:pt idx="108">
                  <c:v>363402.514410417</c:v>
                </c:pt>
                <c:pt idx="109">
                  <c:v>363976.903883262</c:v>
                </c:pt>
                <c:pt idx="110">
                  <c:v>365733.747192009</c:v>
                </c:pt>
                <c:pt idx="111">
                  <c:v>368405.684137776</c:v>
                </c:pt>
                <c:pt idx="112">
                  <c:v>371700.204037008</c:v>
                </c:pt>
                <c:pt idx="113">
                  <c:v>375348.64780537</c:v>
                </c:pt>
                <c:pt idx="114">
                  <c:v>379137.725728192</c:v>
                </c:pt>
                <c:pt idx="115">
                  <c:v>382920.86109777</c:v>
                </c:pt>
                <c:pt idx="116">
                  <c:v>386611.732978576</c:v>
                </c:pt>
                <c:pt idx="117">
                  <c:v>390165.198383796</c:v>
                </c:pt>
                <c:pt idx="118">
                  <c:v>393552.056226174</c:v>
                </c:pt>
                <c:pt idx="119">
                  <c:v>396734.314837004</c:v>
                </c:pt>
                <c:pt idx="120">
                  <c:v>399646.586959102</c:v>
                </c:pt>
                <c:pt idx="121">
                  <c:v>402186.986585587</c:v>
                </c:pt>
                <c:pt idx="122">
                  <c:v>404218.244323164</c:v>
                </c:pt>
                <c:pt idx="123">
                  <c:v>405577.823407374</c:v>
                </c:pt>
                <c:pt idx="124">
                  <c:v>406095.060643956</c:v>
                </c:pt>
                <c:pt idx="125">
                  <c:v>405613.212533397</c:v>
                </c:pt>
                <c:pt idx="126">
                  <c:v>404013.969390222</c:v>
                </c:pt>
                <c:pt idx="127">
                  <c:v>401241.500045439</c:v>
                </c:pt>
                <c:pt idx="128">
                  <c:v>397323.122784491</c:v>
                </c:pt>
                <c:pt idx="129">
                  <c:v>392384.557985567</c:v>
                </c:pt>
                <c:pt idx="130">
                  <c:v>386658.440776606</c:v>
                </c:pt>
                <c:pt idx="131">
                  <c:v>380483.926920293</c:v>
                </c:pt>
                <c:pt idx="132">
                  <c:v>374292.858786236</c:v>
                </c:pt>
                <c:pt idx="133">
                  <c:v>368576.601406779</c:v>
                </c:pt>
                <c:pt idx="134">
                  <c:v>363830.758145615</c:v>
                </c:pt>
                <c:pt idx="135">
                  <c:v>360483.541523295</c:v>
                </c:pt>
                <c:pt idx="136">
                  <c:v>358823.981577362</c:v>
                </c:pt>
                <c:pt idx="137">
                  <c:v>358951.663752996</c:v>
                </c:pt>
                <c:pt idx="138">
                  <c:v>360765.260453746</c:v>
                </c:pt>
                <c:pt idx="139">
                  <c:v>363993.778428505</c:v>
                </c:pt>
                <c:pt idx="140">
                  <c:v>368259.142631723</c:v>
                </c:pt>
                <c:pt idx="141">
                  <c:v>373149.474038087</c:v>
                </c:pt>
                <c:pt idx="142">
                  <c:v>378282.812325436</c:v>
                </c:pt>
                <c:pt idx="143">
                  <c:v>383348.783849232</c:v>
                </c:pt>
                <c:pt idx="144">
                  <c:v>388125.371786659</c:v>
                </c:pt>
                <c:pt idx="145">
                  <c:v>392474.954253529</c:v>
                </c:pt>
                <c:pt idx="146">
                  <c:v>396326.684087847</c:v>
                </c:pt>
                <c:pt idx="147">
                  <c:v>399652.217654181</c:v>
                </c:pt>
                <c:pt idx="148">
                  <c:v>402440.538125854</c:v>
                </c:pt>
                <c:pt idx="149">
                  <c:v>404676.190106918</c:v>
                </c:pt>
                <c:pt idx="150">
                  <c:v>406323.871634104</c:v>
                </c:pt>
                <c:pt idx="151">
                  <c:v>407321.058687337</c:v>
                </c:pt>
                <c:pt idx="152">
                  <c:v>407579.298086907</c:v>
                </c:pt>
                <c:pt idx="153">
                  <c:v>406993.976644165</c:v>
                </c:pt>
                <c:pt idx="154">
                  <c:v>405461.476775816</c:v>
                </c:pt>
                <c:pt idx="155">
                  <c:v>402901.529609575</c:v>
                </c:pt>
                <c:pt idx="156">
                  <c:v>399281.701662739</c:v>
                </c:pt>
                <c:pt idx="157">
                  <c:v>394640.930258384</c:v>
                </c:pt>
                <c:pt idx="158">
                  <c:v>389109.72903411</c:v>
                </c:pt>
                <c:pt idx="159">
                  <c:v>382924.857609868</c:v>
                </c:pt>
                <c:pt idx="160">
                  <c:v>376434.613110324</c:v>
                </c:pt>
                <c:pt idx="161">
                  <c:v>370088.054897776</c:v>
                </c:pt>
                <c:pt idx="162">
                  <c:v>364400.508361798</c:v>
                </c:pt>
                <c:pt idx="163">
                  <c:v>359892.185813995</c:v>
                </c:pt>
                <c:pt idx="164">
                  <c:v>357007.245194474</c:v>
                </c:pt>
                <c:pt idx="165">
                  <c:v>356032.577332595</c:v>
                </c:pt>
                <c:pt idx="166">
                  <c:v>357041.513421798</c:v>
                </c:pt>
                <c:pt idx="167">
                  <c:v>359882.115560184</c:v>
                </c:pt>
                <c:pt idx="168">
                  <c:v>364214.163096584</c:v>
                </c:pt>
                <c:pt idx="169">
                  <c:v>369581.323502534</c:v>
                </c:pt>
                <c:pt idx="170">
                  <c:v>375494.478566636</c:v>
                </c:pt>
                <c:pt idx="171">
                  <c:v>381503.074168448</c:v>
                </c:pt>
                <c:pt idx="172">
                  <c:v>387241.005962019</c:v>
                </c:pt>
                <c:pt idx="173">
                  <c:v>392445.197547124</c:v>
                </c:pt>
                <c:pt idx="174">
                  <c:v>396952.818801773</c:v>
                </c:pt>
                <c:pt idx="175">
                  <c:v>400685.259944304</c:v>
                </c:pt>
                <c:pt idx="176">
                  <c:v>403625.476742311</c:v>
                </c:pt>
                <c:pt idx="177">
                  <c:v>405793.142794523</c:v>
                </c:pt>
                <c:pt idx="178">
                  <c:v>407220.834903129</c:v>
                </c:pt>
                <c:pt idx="179">
                  <c:v>407934.12291198</c:v>
                </c:pt>
                <c:pt idx="180">
                  <c:v>407938.123178164</c:v>
                </c:pt>
                <c:pt idx="181">
                  <c:v>407212.337067139</c:v>
                </c:pt>
                <c:pt idx="182">
                  <c:v>405714.48207128</c:v>
                </c:pt>
                <c:pt idx="183">
                  <c:v>403392.758414133</c:v>
                </c:pt>
                <c:pt idx="184">
                  <c:v>400204.811474285</c:v>
                </c:pt>
                <c:pt idx="185">
                  <c:v>396140.853437996</c:v>
                </c:pt>
                <c:pt idx="186">
                  <c:v>391248.204583608</c:v>
                </c:pt>
                <c:pt idx="187">
                  <c:v>385654.560273291</c:v>
                </c:pt>
                <c:pt idx="188">
                  <c:v>379586.616322592</c:v>
                </c:pt>
                <c:pt idx="189">
                  <c:v>373378.626490431</c:v>
                </c:pt>
                <c:pt idx="190">
                  <c:v>367463.021813046</c:v>
                </c:pt>
                <c:pt idx="191">
                  <c:v>362335.309346597</c:v>
                </c:pt>
                <c:pt idx="192">
                  <c:v>358491.039445958</c:v>
                </c:pt>
                <c:pt idx="193">
                  <c:v>356343.614873364</c:v>
                </c:pt>
                <c:pt idx="194">
                  <c:v>356143.39708637</c:v>
                </c:pt>
                <c:pt idx="195">
                  <c:v>357923.598111339</c:v>
                </c:pt>
                <c:pt idx="196">
                  <c:v>361491.933606508</c:v>
                </c:pt>
                <c:pt idx="197">
                  <c:v>366470.871815791</c:v>
                </c:pt>
                <c:pt idx="198">
                  <c:v>372371.797919914</c:v>
                </c:pt>
                <c:pt idx="199">
                  <c:v>378678.640305668</c:v>
                </c:pt>
                <c:pt idx="200">
                  <c:v>384918.399491873</c:v>
                </c:pt>
                <c:pt idx="201">
                  <c:v>390706.376203395</c:v>
                </c:pt>
                <c:pt idx="202">
                  <c:v>395765.506498196</c:v>
                </c:pt>
                <c:pt idx="203">
                  <c:v>399926.160629704</c:v>
                </c:pt>
                <c:pt idx="204">
                  <c:v>403113.768641526</c:v>
                </c:pt>
                <c:pt idx="205">
                  <c:v>405329.404990601</c:v>
                </c:pt>
                <c:pt idx="206">
                  <c:v>406626.416063975</c:v>
                </c:pt>
                <c:pt idx="207">
                  <c:v>407085.740274532</c:v>
                </c:pt>
                <c:pt idx="208">
                  <c:v>406793.006903577</c:v>
                </c:pt>
                <c:pt idx="209">
                  <c:v>405820.522113655</c:v>
                </c:pt>
                <c:pt idx="210">
                  <c:v>404216.448679899</c:v>
                </c:pt>
                <c:pt idx="211">
                  <c:v>402002.340732116</c:v>
                </c:pt>
                <c:pt idx="212">
                  <c:v>399179.217976009</c:v>
                </c:pt>
                <c:pt idx="213">
                  <c:v>395741.571355221</c:v>
                </c:pt>
                <c:pt idx="214">
                  <c:v>391697.844114869</c:v>
                </c:pt>
                <c:pt idx="215">
                  <c:v>387094.94467032</c:v>
                </c:pt>
                <c:pt idx="216">
                  <c:v>382043.252127104</c:v>
                </c:pt>
                <c:pt idx="217">
                  <c:v>376737.253840212</c:v>
                </c:pt>
                <c:pt idx="218">
                  <c:v>371465.35859782</c:v>
                </c:pt>
                <c:pt idx="219">
                  <c:v>366601.344590981</c:v>
                </c:pt>
                <c:pt idx="220">
                  <c:v>362571.263230021</c:v>
                </c:pt>
                <c:pt idx="221">
                  <c:v>359795.332961835</c:v>
                </c:pt>
                <c:pt idx="222">
                  <c:v>358614.006255009</c:v>
                </c:pt>
                <c:pt idx="223">
                  <c:v>359216.924812388</c:v>
                </c:pt>
                <c:pt idx="224">
                  <c:v>361596.90778946</c:v>
                </c:pt>
                <c:pt idx="225">
                  <c:v>365544.765182416</c:v>
                </c:pt>
                <c:pt idx="226">
                  <c:v>370686.598573137</c:v>
                </c:pt>
                <c:pt idx="227">
                  <c:v>376550.372975018</c:v>
                </c:pt>
                <c:pt idx="228">
                  <c:v>382640.510704565</c:v>
                </c:pt>
                <c:pt idx="229">
                  <c:v>388501.296390667</c:v>
                </c:pt>
                <c:pt idx="230">
                  <c:v>393759.048037859</c:v>
                </c:pt>
                <c:pt idx="231">
                  <c:v>398142.829460597</c:v>
                </c:pt>
                <c:pt idx="232">
                  <c:v>401488.839525856</c:v>
                </c:pt>
                <c:pt idx="233">
                  <c:v>403733.832062334</c:v>
                </c:pt>
                <c:pt idx="234">
                  <c:v>404900.835485413</c:v>
                </c:pt>
                <c:pt idx="235">
                  <c:v>405079.092691945</c:v>
                </c:pt>
                <c:pt idx="236">
                  <c:v>404400.374009624</c:v>
                </c:pt>
                <c:pt idx="237">
                  <c:v>403014.543753388</c:v>
                </c:pt>
                <c:pt idx="238">
                  <c:v>401067.339214791</c:v>
                </c:pt>
                <c:pt idx="239">
                  <c:v>398682.772653315</c:v>
                </c:pt>
                <c:pt idx="240">
                  <c:v>395952.124143868</c:v>
                </c:pt>
                <c:pt idx="241">
                  <c:v>392931.383825297</c:v>
                </c:pt>
                <c:pt idx="242">
                  <c:v>389648.552514321</c:v>
                </c:pt>
                <c:pt idx="243">
                  <c:v>386120.670481236</c:v>
                </c:pt>
                <c:pt idx="244">
                  <c:v>382377.968606027</c:v>
                </c:pt>
                <c:pt idx="245">
                  <c:v>378490.134701033</c:v>
                </c:pt>
                <c:pt idx="246">
                  <c:v>374588.277385179</c:v>
                </c:pt>
                <c:pt idx="247">
                  <c:v>370875.927253327</c:v>
                </c:pt>
                <c:pt idx="248">
                  <c:v>367623.211275281</c:v>
                </c:pt>
                <c:pt idx="249">
                  <c:v>365140.578820787</c:v>
                </c:pt>
                <c:pt idx="250">
                  <c:v>363732.977563895</c:v>
                </c:pt>
                <c:pt idx="251">
                  <c:v>363642.051241302</c:v>
                </c:pt>
                <c:pt idx="252">
                  <c:v>364990.449182976</c:v>
                </c:pt>
                <c:pt idx="253">
                  <c:v>367744.857442476</c:v>
                </c:pt>
                <c:pt idx="254">
                  <c:v>371710.093686418</c:v>
                </c:pt>
                <c:pt idx="255">
                  <c:v>376556.39905374</c:v>
                </c:pt>
                <c:pt idx="256">
                  <c:v>381870.688993132</c:v>
                </c:pt>
                <c:pt idx="257">
                  <c:v>387215.925679387</c:v>
                </c:pt>
                <c:pt idx="258">
                  <c:v>392183.897405724</c:v>
                </c:pt>
                <c:pt idx="259">
                  <c:v>396433.434911741</c:v>
                </c:pt>
                <c:pt idx="260">
                  <c:v>399713.315450312</c:v>
                </c:pt>
                <c:pt idx="261">
                  <c:v>401872.819146943</c:v>
                </c:pt>
                <c:pt idx="262">
                  <c:v>402862.811437797</c:v>
                </c:pt>
                <c:pt idx="263">
                  <c:v>402728.728470598</c:v>
                </c:pt>
                <c:pt idx="264">
                  <c:v>401596.185782467</c:v>
                </c:pt>
                <c:pt idx="265">
                  <c:v>399650.444236763</c:v>
                </c:pt>
                <c:pt idx="266">
                  <c:v>397111.654618868</c:v>
                </c:pt>
                <c:pt idx="267">
                  <c:v>394208.042957446</c:v>
                </c:pt>
                <c:pt idx="268">
                  <c:v>391149.470235378</c:v>
                </c:pt>
                <c:pt idx="269">
                  <c:v>388104.741982104</c:v>
                </c:pt>
                <c:pt idx="270">
                  <c:v>385187.169922643</c:v>
                </c:pt>
                <c:pt idx="271">
                  <c:v>382452.656828754</c:v>
                </c:pt>
                <c:pt idx="272">
                  <c:v>379911.923582397</c:v>
                </c:pt>
                <c:pt idx="273">
                  <c:v>377554.190585565</c:v>
                </c:pt>
                <c:pt idx="274">
                  <c:v>375375.861614624</c:v>
                </c:pt>
                <c:pt idx="275">
                  <c:v>373406.354825706</c:v>
                </c:pt>
                <c:pt idx="276">
                  <c:v>371724.271710192</c:v>
                </c:pt>
                <c:pt idx="277">
                  <c:v>370459.369030349</c:v>
                </c:pt>
                <c:pt idx="278">
                  <c:v>369778.31853095</c:v>
                </c:pt>
                <c:pt idx="279">
                  <c:v>369855.166407148</c:v>
                </c:pt>
                <c:pt idx="280">
                  <c:v>370831.320501442</c:v>
                </c:pt>
                <c:pt idx="281">
                  <c:v>372774.247135321</c:v>
                </c:pt>
                <c:pt idx="282">
                  <c:v>375646.596384343</c:v>
                </c:pt>
                <c:pt idx="283">
                  <c:v>379295.669596249</c:v>
                </c:pt>
                <c:pt idx="284">
                  <c:v>383466.67699975</c:v>
                </c:pt>
                <c:pt idx="285">
                  <c:v>387835.101672888</c:v>
                </c:pt>
                <c:pt idx="286">
                  <c:v>392048.168073719</c:v>
                </c:pt>
                <c:pt idx="287">
                  <c:v>395765.41357084</c:v>
                </c:pt>
                <c:pt idx="288">
                  <c:v>398692.376900385</c:v>
                </c:pt>
                <c:pt idx="289">
                  <c:v>400605.846619958</c:v>
                </c:pt>
                <c:pt idx="290">
                  <c:v>401371.240028733</c:v>
                </c:pt>
                <c:pt idx="291">
                  <c:v>400952.466301087</c:v>
                </c:pt>
                <c:pt idx="292">
                  <c:v>399413.798165944</c:v>
                </c:pt>
                <c:pt idx="293">
                  <c:v>396913.181833524</c:v>
                </c:pt>
                <c:pt idx="294">
                  <c:v>393686.940202089</c:v>
                </c:pt>
                <c:pt idx="295">
                  <c:v>390026.232325405</c:v>
                </c:pt>
                <c:pt idx="296">
                  <c:v>386245.992534994</c:v>
                </c:pt>
                <c:pt idx="297">
                  <c:v>382648.392623131</c:v>
                </c:pt>
                <c:pt idx="298">
                  <c:v>379485.641502437</c:v>
                </c:pt>
                <c:pt idx="299">
                  <c:v>376929.820604844</c:v>
                </c:pt>
                <c:pt idx="300">
                  <c:v>375057.914455915</c:v>
                </c:pt>
                <c:pt idx="301">
                  <c:v>373856.762788763</c:v>
                </c:pt>
                <c:pt idx="302">
                  <c:v>373246.523941722</c:v>
                </c:pt>
                <c:pt idx="303">
                  <c:v>373115.487798333</c:v>
                </c:pt>
                <c:pt idx="304">
                  <c:v>373356.36742675</c:v>
                </c:pt>
                <c:pt idx="305">
                  <c:v>373895.073188812</c:v>
                </c:pt>
                <c:pt idx="306">
                  <c:v>374706.052923812</c:v>
                </c:pt>
                <c:pt idx="307">
                  <c:v>375811.78900957</c:v>
                </c:pt>
                <c:pt idx="308">
                  <c:v>377267.172536721</c:v>
                </c:pt>
                <c:pt idx="309">
                  <c:v>379132.455208864</c:v>
                </c:pt>
                <c:pt idx="310">
                  <c:v>381441.419237881</c:v>
                </c:pt>
                <c:pt idx="311">
                  <c:v>384173.312200738</c:v>
                </c:pt>
                <c:pt idx="312">
                  <c:v>387236.396878271</c:v>
                </c:pt>
                <c:pt idx="313">
                  <c:v>390467.212311995</c:v>
                </c:pt>
                <c:pt idx="314">
                  <c:v>393644.504538679</c:v>
                </c:pt>
                <c:pt idx="315">
                  <c:v>396513.030684397</c:v>
                </c:pt>
                <c:pt idx="316">
                  <c:v>398811.698336278</c:v>
                </c:pt>
                <c:pt idx="317">
                  <c:v>400302.062860757</c:v>
                </c:pt>
                <c:pt idx="318">
                  <c:v>400794.997124163</c:v>
                </c:pt>
                <c:pt idx="319">
                  <c:v>400173.969948421</c:v>
                </c:pt>
                <c:pt idx="320">
                  <c:v>398413.082711218</c:v>
                </c:pt>
                <c:pt idx="321">
                  <c:v>395587.880613545</c:v>
                </c:pt>
                <c:pt idx="322">
                  <c:v>391877.343711759</c:v>
                </c:pt>
                <c:pt idx="323">
                  <c:v>387555.725930556</c:v>
                </c:pt>
                <c:pt idx="324">
                  <c:v>382972.607747709</c:v>
                </c:pt>
                <c:pt idx="325">
                  <c:v>378519.622576298</c:v>
                </c:pt>
                <c:pt idx="326">
                  <c:v>374584.591170238</c:v>
                </c:pt>
                <c:pt idx="327">
                  <c:v>371498.731968591</c:v>
                </c:pt>
                <c:pt idx="328">
                  <c:v>369488.002712664</c:v>
                </c:pt>
                <c:pt idx="329">
                  <c:v>368641.771360237</c:v>
                </c:pt>
                <c:pt idx="330">
                  <c:v>368908.575758317</c:v>
                </c:pt>
                <c:pt idx="331">
                  <c:v>370120.60248012</c:v>
                </c:pt>
                <c:pt idx="332">
                  <c:v>372039.307841614</c:v>
                </c:pt>
                <c:pt idx="333">
                  <c:v>374408.531435784</c:v>
                </c:pt>
                <c:pt idx="334">
                  <c:v>377000.962663731</c:v>
                </c:pt>
                <c:pt idx="335">
                  <c:v>379648.263136089</c:v>
                </c:pt>
                <c:pt idx="336">
                  <c:v>382251.511893779</c:v>
                </c:pt>
                <c:pt idx="337">
                  <c:v>384773.91143101</c:v>
                </c:pt>
                <c:pt idx="338">
                  <c:v>387220.700088981</c:v>
                </c:pt>
                <c:pt idx="339">
                  <c:v>389612.460866965</c:v>
                </c:pt>
                <c:pt idx="340">
                  <c:v>391958.226046417</c:v>
                </c:pt>
                <c:pt idx="341">
                  <c:v>394234.033966725</c:v>
                </c:pt>
                <c:pt idx="342">
                  <c:v>396370.767376053</c:v>
                </c:pt>
                <c:pt idx="343">
                  <c:v>398252.645691963</c:v>
                </c:pt>
                <c:pt idx="344">
                  <c:v>399725.647595741</c:v>
                </c:pt>
                <c:pt idx="345">
                  <c:v>400614.055708826</c:v>
                </c:pt>
                <c:pt idx="346">
                  <c:v>400742.967002399</c:v>
                </c:pt>
                <c:pt idx="347">
                  <c:v>399964.277729212</c:v>
                </c:pt>
                <c:pt idx="348">
                  <c:v>398183.115981485</c:v>
                </c:pt>
                <c:pt idx="349">
                  <c:v>395381.472169194</c:v>
                </c:pt>
                <c:pt idx="350">
                  <c:v>391636.255590604</c:v>
                </c:pt>
                <c:pt idx="351">
                  <c:v>387129.605500155</c:v>
                </c:pt>
                <c:pt idx="352">
                  <c:v>382148.925175292</c:v>
                </c:pt>
                <c:pt idx="353">
                  <c:v>377072.770600877</c:v>
                </c:pt>
                <c:pt idx="354">
                  <c:v>372338.332732332</c:v>
                </c:pt>
                <c:pt idx="355">
                  <c:v>368389.349726433</c:v>
                </c:pt>
                <c:pt idx="356">
                  <c:v>365610.377398944</c:v>
                </c:pt>
                <c:pt idx="357">
                  <c:v>364261.511340158</c:v>
                </c:pt>
                <c:pt idx="358">
                  <c:v>364432.006950702</c:v>
                </c:pt>
                <c:pt idx="359">
                  <c:v>366028.085278813</c:v>
                </c:pt>
                <c:pt idx="360">
                  <c:v>368799.64976442</c:v>
                </c:pt>
                <c:pt idx="361">
                  <c:v>372397.205751548</c:v>
                </c:pt>
                <c:pt idx="362">
                  <c:v>376440.714957227</c:v>
                </c:pt>
                <c:pt idx="363">
                  <c:v>380581.008424797</c:v>
                </c:pt>
                <c:pt idx="364">
                  <c:v>384540.991990446</c:v>
                </c:pt>
                <c:pt idx="365">
                  <c:v>388133.265557173</c:v>
                </c:pt>
              </c:numCache>
            </c:numRef>
          </c:yVal>
          <c:smooth val="0"/>
        </c:ser>
        <c:axId val="19492948"/>
        <c:axId val="25062859"/>
      </c:scatterChart>
      <c:valAx>
        <c:axId val="19492948"/>
        <c:scaling>
          <c:orientation val="minMax"/>
          <c:max val="366"/>
          <c:min val="1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5062859"/>
        <c:crosses val="autoZero"/>
        <c:crossBetween val="between"/>
        <c:majorUnit val="30"/>
      </c:valAx>
      <c:valAx>
        <c:axId val="2506285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949294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spPr>
            <a:noFill/>
            <a:ln cap="rnd" w="216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elev__az!$E$2:$E$367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elev__az!$F$2:$F$367</c:f>
              <c:numCache>
                <c:formatCode>General</c:formatCode>
                <c:ptCount val="366"/>
                <c:pt idx="0">
                  <c:v>-49.3298219876613</c:v>
                </c:pt>
                <c:pt idx="1">
                  <c:v>-59.3388229960952</c:v>
                </c:pt>
                <c:pt idx="2">
                  <c:v>-65.3418005270333</c:v>
                </c:pt>
                <c:pt idx="3">
                  <c:v>-64.4337166223918</c:v>
                </c:pt>
                <c:pt idx="4">
                  <c:v>-57.4803385254453</c:v>
                </c:pt>
                <c:pt idx="5">
                  <c:v>-47.6987443417012</c:v>
                </c:pt>
                <c:pt idx="6">
                  <c:v>-36.957028401764</c:v>
                </c:pt>
                <c:pt idx="7">
                  <c:v>-26.014135951395</c:v>
                </c:pt>
                <c:pt idx="8">
                  <c:v>-15.1756621951529</c:v>
                </c:pt>
                <c:pt idx="9">
                  <c:v>-4.3705725199186</c:v>
                </c:pt>
                <c:pt idx="10">
                  <c:v>6.11238425298677</c:v>
                </c:pt>
                <c:pt idx="11">
                  <c:v>16.2158152584534</c:v>
                </c:pt>
                <c:pt idx="12">
                  <c:v>26.1201481932559</c:v>
                </c:pt>
                <c:pt idx="13">
                  <c:v>35.707536594634</c:v>
                </c:pt>
                <c:pt idx="14">
                  <c:v>44.795409576775</c:v>
                </c:pt>
                <c:pt idx="15">
                  <c:v>52.9903294125869</c:v>
                </c:pt>
                <c:pt idx="16">
                  <c:v>59.4796006045535</c:v>
                </c:pt>
                <c:pt idx="17">
                  <c:v>62.866969401766</c:v>
                </c:pt>
                <c:pt idx="18">
                  <c:v>61.8480041629493</c:v>
                </c:pt>
                <c:pt idx="19">
                  <c:v>56.6902215668456</c:v>
                </c:pt>
                <c:pt idx="20">
                  <c:v>48.8169793429534</c:v>
                </c:pt>
                <c:pt idx="21">
                  <c:v>39.3981087080384</c:v>
                </c:pt>
                <c:pt idx="22">
                  <c:v>29.0780175640073</c:v>
                </c:pt>
                <c:pt idx="23">
                  <c:v>18.1900637063143</c:v>
                </c:pt>
                <c:pt idx="24">
                  <c:v>6.95639639737056</c:v>
                </c:pt>
                <c:pt idx="25">
                  <c:v>-4.71784060499879</c:v>
                </c:pt>
                <c:pt idx="26">
                  <c:v>-16.5408917180133</c:v>
                </c:pt>
                <c:pt idx="27">
                  <c:v>-28.1946840441268</c:v>
                </c:pt>
                <c:pt idx="28">
                  <c:v>-39.4576025834616</c:v>
                </c:pt>
                <c:pt idx="29">
                  <c:v>-49.6661173117332</c:v>
                </c:pt>
                <c:pt idx="30">
                  <c:v>-57.5567653141332</c:v>
                </c:pt>
                <c:pt idx="31">
                  <c:v>-61.1075516256654</c:v>
                </c:pt>
                <c:pt idx="32">
                  <c:v>-58.9634227441447</c:v>
                </c:pt>
                <c:pt idx="33">
                  <c:v>-52.364756596703</c:v>
                </c:pt>
                <c:pt idx="34">
                  <c:v>-43.4751173689694</c:v>
                </c:pt>
                <c:pt idx="35">
                  <c:v>-33.6582211725242</c:v>
                </c:pt>
                <c:pt idx="36">
                  <c:v>-23.5701739379045</c:v>
                </c:pt>
                <c:pt idx="37">
                  <c:v>-13.5156434468278</c:v>
                </c:pt>
                <c:pt idx="38">
                  <c:v>-3.18859956442428</c:v>
                </c:pt>
                <c:pt idx="39">
                  <c:v>6.34598562749216</c:v>
                </c:pt>
                <c:pt idx="40">
                  <c:v>15.7570064473944</c:v>
                </c:pt>
                <c:pt idx="41">
                  <c:v>24.929382475301</c:v>
                </c:pt>
                <c:pt idx="42">
                  <c:v>33.7036881226071</c:v>
                </c:pt>
                <c:pt idx="43">
                  <c:v>41.8333083808819</c:v>
                </c:pt>
                <c:pt idx="44">
                  <c:v>48.8561120995539</c:v>
                </c:pt>
                <c:pt idx="45">
                  <c:v>53.9776033370159</c:v>
                </c:pt>
                <c:pt idx="46">
                  <c:v>56.1341699503574</c:v>
                </c:pt>
                <c:pt idx="47">
                  <c:v>54.5876313224306</c:v>
                </c:pt>
                <c:pt idx="48">
                  <c:v>49.6092000118778</c:v>
                </c:pt>
                <c:pt idx="49">
                  <c:v>42.1604980785081</c:v>
                </c:pt>
                <c:pt idx="50">
                  <c:v>33.1583623313418</c:v>
                </c:pt>
                <c:pt idx="51">
                  <c:v>23.2288536637268</c:v>
                </c:pt>
                <c:pt idx="52">
                  <c:v>12.7795319757351</c:v>
                </c:pt>
                <c:pt idx="53">
                  <c:v>2.23681097725756</c:v>
                </c:pt>
                <c:pt idx="54">
                  <c:v>-8.94675335490575</c:v>
                </c:pt>
                <c:pt idx="55">
                  <c:v>-19.5611625048865</c:v>
                </c:pt>
                <c:pt idx="56">
                  <c:v>-29.7325302723356</c:v>
                </c:pt>
                <c:pt idx="57">
                  <c:v>-38.9917017684456</c:v>
                </c:pt>
                <c:pt idx="58">
                  <c:v>-46.6082451757725</c:v>
                </c:pt>
                <c:pt idx="59">
                  <c:v>-51.543041440329</c:v>
                </c:pt>
                <c:pt idx="60">
                  <c:v>-52.7839126773479</c:v>
                </c:pt>
                <c:pt idx="61">
                  <c:v>-50.1595542090295</c:v>
                </c:pt>
                <c:pt idx="62">
                  <c:v>-44.5670755026927</c:v>
                </c:pt>
                <c:pt idx="63">
                  <c:v>-37.1890575734849</c:v>
                </c:pt>
                <c:pt idx="64">
                  <c:v>-28.9037058812213</c:v>
                </c:pt>
                <c:pt idx="65">
                  <c:v>-20.2384919892076</c:v>
                </c:pt>
                <c:pt idx="66">
                  <c:v>-11.4928556727194</c:v>
                </c:pt>
                <c:pt idx="67">
                  <c:v>-2.09608816435054</c:v>
                </c:pt>
                <c:pt idx="68">
                  <c:v>5.97471587214062</c:v>
                </c:pt>
                <c:pt idx="69">
                  <c:v>14.1906401855087</c:v>
                </c:pt>
                <c:pt idx="70">
                  <c:v>22.1058151641278</c:v>
                </c:pt>
                <c:pt idx="71">
                  <c:v>29.5095824568694</c:v>
                </c:pt>
                <c:pt idx="72">
                  <c:v>36.115415068125</c:v>
                </c:pt>
                <c:pt idx="73">
                  <c:v>41.4819745248094</c:v>
                </c:pt>
                <c:pt idx="74">
                  <c:v>45.0023584335662</c:v>
                </c:pt>
                <c:pt idx="75">
                  <c:v>46.0400052350227</c:v>
                </c:pt>
                <c:pt idx="76">
                  <c:v>44.24421235349</c:v>
                </c:pt>
                <c:pt idx="77">
                  <c:v>39.7860522678858</c:v>
                </c:pt>
                <c:pt idx="78">
                  <c:v>33.2314121667331</c:v>
                </c:pt>
                <c:pt idx="79">
                  <c:v>25.2382006804594</c:v>
                </c:pt>
                <c:pt idx="80">
                  <c:v>16.3793428967453</c:v>
                </c:pt>
                <c:pt idx="81">
                  <c:v>7.1346254670047</c:v>
                </c:pt>
                <c:pt idx="82">
                  <c:v>-1.68081320614846</c:v>
                </c:pt>
                <c:pt idx="83">
                  <c:v>-11.6210515328128</c:v>
                </c:pt>
                <c:pt idx="84">
                  <c:v>-20.2379089834018</c:v>
                </c:pt>
                <c:pt idx="85">
                  <c:v>-28.0032552855195</c:v>
                </c:pt>
                <c:pt idx="86">
                  <c:v>-34.4852849238167</c:v>
                </c:pt>
                <c:pt idx="87">
                  <c:v>-39.1837557442441</c:v>
                </c:pt>
                <c:pt idx="88">
                  <c:v>-41.628238184678</c:v>
                </c:pt>
                <c:pt idx="89">
                  <c:v>-41.5830258541365</c:v>
                </c:pt>
                <c:pt idx="90">
                  <c:v>-39.2057741752675</c:v>
                </c:pt>
                <c:pt idx="91">
                  <c:v>-34.9757226447667</c:v>
                </c:pt>
                <c:pt idx="92">
                  <c:v>-29.4660388984995</c:v>
                </c:pt>
                <c:pt idx="93">
                  <c:v>-23.1716117642352</c:v>
                </c:pt>
                <c:pt idx="94">
                  <c:v>-16.458273242369</c:v>
                </c:pt>
                <c:pt idx="95">
                  <c:v>-9.57921401965518</c:v>
                </c:pt>
                <c:pt idx="96">
                  <c:v>-1.93784202130014</c:v>
                </c:pt>
                <c:pt idx="97">
                  <c:v>4.3771768003664</c:v>
                </c:pt>
                <c:pt idx="98">
                  <c:v>10.8146689703301</c:v>
                </c:pt>
                <c:pt idx="99">
                  <c:v>16.9408165443376</c:v>
                </c:pt>
                <c:pt idx="100">
                  <c:v>22.5296763533136</c:v>
                </c:pt>
                <c:pt idx="101">
                  <c:v>27.3357999643733</c:v>
                </c:pt>
                <c:pt idx="102">
                  <c:v>31.0465540033748</c:v>
                </c:pt>
                <c:pt idx="103">
                  <c:v>33.2992655248532</c:v>
                </c:pt>
                <c:pt idx="104">
                  <c:v>33.7595953277038</c:v>
                </c:pt>
                <c:pt idx="105">
                  <c:v>32.2459503684114</c:v>
                </c:pt>
                <c:pt idx="106">
                  <c:v>28.8238217190411</c:v>
                </c:pt>
                <c:pt idx="107">
                  <c:v>23.7948363094993</c:v>
                </c:pt>
                <c:pt idx="108">
                  <c:v>17.5991977901948</c:v>
                </c:pt>
                <c:pt idx="109">
                  <c:v>10.7150276707086</c:v>
                </c:pt>
                <c:pt idx="110">
                  <c:v>3.64542947454076</c:v>
                </c:pt>
                <c:pt idx="111">
                  <c:v>-3.38252116957327</c:v>
                </c:pt>
                <c:pt idx="112">
                  <c:v>-10.4335334224411</c:v>
                </c:pt>
                <c:pt idx="113">
                  <c:v>-16.4223545687096</c:v>
                </c:pt>
                <c:pt idx="114">
                  <c:v>-21.4981758029422</c:v>
                </c:pt>
                <c:pt idx="115">
                  <c:v>-25.438788434749</c:v>
                </c:pt>
                <c:pt idx="116">
                  <c:v>-28.0671003634386</c:v>
                </c:pt>
                <c:pt idx="117">
                  <c:v>-29.2842215318733</c:v>
                </c:pt>
                <c:pt idx="118">
                  <c:v>-29.1003320116335</c:v>
                </c:pt>
                <c:pt idx="119">
                  <c:v>-27.6397516658411</c:v>
                </c:pt>
                <c:pt idx="120">
                  <c:v>-25.1112357119815</c:v>
                </c:pt>
                <c:pt idx="121">
                  <c:v>-21.7597323252917</c:v>
                </c:pt>
                <c:pt idx="122">
                  <c:v>-17.824083452458</c:v>
                </c:pt>
                <c:pt idx="123">
                  <c:v>-13.5135509973633</c:v>
                </c:pt>
                <c:pt idx="124">
                  <c:v>-8.99757566569384</c:v>
                </c:pt>
                <c:pt idx="125">
                  <c:v>-4.19946268017085</c:v>
                </c:pt>
                <c:pt idx="126">
                  <c:v>0.691861445646308</c:v>
                </c:pt>
                <c:pt idx="127">
                  <c:v>4.81266277339195</c:v>
                </c:pt>
                <c:pt idx="128">
                  <c:v>8.88270460143537</c:v>
                </c:pt>
                <c:pt idx="129">
                  <c:v>12.6161658739493</c:v>
                </c:pt>
                <c:pt idx="130">
                  <c:v>15.849154142344</c:v>
                </c:pt>
                <c:pt idx="131">
                  <c:v>18.4120143596158</c:v>
                </c:pt>
                <c:pt idx="132">
                  <c:v>20.1219610480781</c:v>
                </c:pt>
                <c:pt idx="133">
                  <c:v>20.8067241056305</c:v>
                </c:pt>
                <c:pt idx="134">
                  <c:v>20.3488482619337</c:v>
                </c:pt>
                <c:pt idx="135">
                  <c:v>18.7333647693987</c:v>
                </c:pt>
                <c:pt idx="136">
                  <c:v>16.0728110773115</c:v>
                </c:pt>
                <c:pt idx="137">
                  <c:v>12.5935159657006</c:v>
                </c:pt>
                <c:pt idx="138">
                  <c:v>8.59254209208207</c:v>
                </c:pt>
                <c:pt idx="139">
                  <c:v>4.399997485786</c:v>
                </c:pt>
                <c:pt idx="140">
                  <c:v>0.463003018343463</c:v>
                </c:pt>
                <c:pt idx="141">
                  <c:v>-3.84045021345218</c:v>
                </c:pt>
                <c:pt idx="142">
                  <c:v>-7.69345593165889</c:v>
                </c:pt>
                <c:pt idx="143">
                  <c:v>-10.7673822989405</c:v>
                </c:pt>
                <c:pt idx="144">
                  <c:v>-13.2551947538395</c:v>
                </c:pt>
                <c:pt idx="145">
                  <c:v>-15.1300097735232</c:v>
                </c:pt>
                <c:pt idx="146">
                  <c:v>-16.3832242177362</c:v>
                </c:pt>
                <c:pt idx="147">
                  <c:v>-17.030370030097</c:v>
                </c:pt>
                <c:pt idx="148">
                  <c:v>-17.1083497413735</c:v>
                </c:pt>
                <c:pt idx="149">
                  <c:v>-16.6708263207749</c:v>
                </c:pt>
                <c:pt idx="150">
                  <c:v>-15.7822383990275</c:v>
                </c:pt>
                <c:pt idx="151">
                  <c:v>-14.5115148023555</c:v>
                </c:pt>
                <c:pt idx="152">
                  <c:v>-12.926717915405</c:v>
                </c:pt>
                <c:pt idx="153">
                  <c:v>-11.091116774195</c:v>
                </c:pt>
                <c:pt idx="154">
                  <c:v>-9.05951566734549</c:v>
                </c:pt>
                <c:pt idx="155">
                  <c:v>-6.8661255810494</c:v>
                </c:pt>
                <c:pt idx="156">
                  <c:v>-4.42731512427713</c:v>
                </c:pt>
                <c:pt idx="157">
                  <c:v>-1.41914689605455</c:v>
                </c:pt>
                <c:pt idx="158">
                  <c:v>0.679672914387987</c:v>
                </c:pt>
                <c:pt idx="159">
                  <c:v>2.84019142090275</c:v>
                </c:pt>
                <c:pt idx="160">
                  <c:v>5.04930523954749</c:v>
                </c:pt>
                <c:pt idx="161">
                  <c:v>7.1527697980619</c:v>
                </c:pt>
                <c:pt idx="162">
                  <c:v>9.02829288446465</c:v>
                </c:pt>
                <c:pt idx="163">
                  <c:v>10.5535910928247</c:v>
                </c:pt>
                <c:pt idx="164">
                  <c:v>11.6136292327609</c:v>
                </c:pt>
                <c:pt idx="165">
                  <c:v>12.1218950502935</c:v>
                </c:pt>
                <c:pt idx="166">
                  <c:v>12.0407105806824</c:v>
                </c:pt>
                <c:pt idx="167">
                  <c:v>11.3891804572132</c:v>
                </c:pt>
                <c:pt idx="168">
                  <c:v>10.235017939892</c:v>
                </c:pt>
                <c:pt idx="169">
                  <c:v>8.67558130117276</c:v>
                </c:pt>
                <c:pt idx="170">
                  <c:v>6.81783424677366</c:v>
                </c:pt>
                <c:pt idx="171">
                  <c:v>4.76585182499221</c:v>
                </c:pt>
                <c:pt idx="172">
                  <c:v>2.62411009599234</c:v>
                </c:pt>
                <c:pt idx="173">
                  <c:v>0.536230131671534</c:v>
                </c:pt>
                <c:pt idx="174">
                  <c:v>-1.54399381682938</c:v>
                </c:pt>
                <c:pt idx="175">
                  <c:v>-4.50315395738687</c:v>
                </c:pt>
                <c:pt idx="176">
                  <c:v>-6.89193843481782</c:v>
                </c:pt>
                <c:pt idx="177">
                  <c:v>-9.0497664084173</c:v>
                </c:pt>
                <c:pt idx="178">
                  <c:v>-11.0486381315251</c:v>
                </c:pt>
                <c:pt idx="179">
                  <c:v>-12.8527107689323</c:v>
                </c:pt>
                <c:pt idx="180">
                  <c:v>-14.4075501800017</c:v>
                </c:pt>
                <c:pt idx="181">
                  <c:v>-15.6522396922352</c:v>
                </c:pt>
                <c:pt idx="182">
                  <c:v>-16.5233220707801</c:v>
                </c:pt>
                <c:pt idx="183">
                  <c:v>-16.9579860434981</c:v>
                </c:pt>
                <c:pt idx="184">
                  <c:v>-16.8969153803735</c:v>
                </c:pt>
                <c:pt idx="185">
                  <c:v>-16.2865784556762</c:v>
                </c:pt>
                <c:pt idx="186">
                  <c:v>-15.0814999158601</c:v>
                </c:pt>
                <c:pt idx="187">
                  <c:v>-13.2481693558909</c:v>
                </c:pt>
                <c:pt idx="188">
                  <c:v>-10.7722709155905</c:v>
                </c:pt>
                <c:pt idx="189">
                  <c:v>-7.6618983567561</c:v>
                </c:pt>
                <c:pt idx="190">
                  <c:v>-3.68960574900264</c:v>
                </c:pt>
                <c:pt idx="191">
                  <c:v>0.668666287168785</c:v>
                </c:pt>
                <c:pt idx="192">
                  <c:v>4.74225846083961</c:v>
                </c:pt>
                <c:pt idx="193">
                  <c:v>9.00130882570611</c:v>
                </c:pt>
                <c:pt idx="194">
                  <c:v>12.9799734045658</c:v>
                </c:pt>
                <c:pt idx="195">
                  <c:v>16.347674598386</c:v>
                </c:pt>
                <c:pt idx="196">
                  <c:v>18.838224619763</c:v>
                </c:pt>
                <c:pt idx="197">
                  <c:v>20.2766952582473</c:v>
                </c:pt>
                <c:pt idx="198">
                  <c:v>20.6002746429456</c:v>
                </c:pt>
                <c:pt idx="199">
                  <c:v>19.8524020327493</c:v>
                </c:pt>
                <c:pt idx="200">
                  <c:v>18.1514887076968</c:v>
                </c:pt>
                <c:pt idx="201">
                  <c:v>15.6504596029461</c:v>
                </c:pt>
                <c:pt idx="202">
                  <c:v>12.505117054762</c:v>
                </c:pt>
                <c:pt idx="203">
                  <c:v>8.8608445961852</c:v>
                </c:pt>
                <c:pt idx="204">
                  <c:v>4.8646359883393</c:v>
                </c:pt>
                <c:pt idx="205">
                  <c:v>0.785817228371556</c:v>
                </c:pt>
                <c:pt idx="206">
                  <c:v>-4.0262271143118</c:v>
                </c:pt>
                <c:pt idx="207">
                  <c:v>-8.83448470029837</c:v>
                </c:pt>
                <c:pt idx="208">
                  <c:v>-13.3365462877944</c:v>
                </c:pt>
                <c:pt idx="209">
                  <c:v>-17.6336192851397</c:v>
                </c:pt>
                <c:pt idx="210">
                  <c:v>-21.5581341706187</c:v>
                </c:pt>
                <c:pt idx="211">
                  <c:v>-24.9118696427928</c:v>
                </c:pt>
                <c:pt idx="212">
                  <c:v>-27.4759681076577</c:v>
                </c:pt>
                <c:pt idx="213">
                  <c:v>-29.0263150823796</c:v>
                </c:pt>
                <c:pt idx="214">
                  <c:v>-29.3608883878337</c:v>
                </c:pt>
                <c:pt idx="215">
                  <c:v>-28.3341646555097</c:v>
                </c:pt>
                <c:pt idx="216">
                  <c:v>-25.886376898891</c:v>
                </c:pt>
                <c:pt idx="217">
                  <c:v>-22.0560226442262</c:v>
                </c:pt>
                <c:pt idx="218">
                  <c:v>-16.974924609806</c:v>
                </c:pt>
                <c:pt idx="219">
                  <c:v>-10.8550188186868</c:v>
                </c:pt>
                <c:pt idx="220">
                  <c:v>-3.63503062070817</c:v>
                </c:pt>
                <c:pt idx="221">
                  <c:v>3.71955433694091</c:v>
                </c:pt>
                <c:pt idx="222">
                  <c:v>11.0340911069532</c:v>
                </c:pt>
                <c:pt idx="223">
                  <c:v>18.0772135030435</c:v>
                </c:pt>
                <c:pt idx="224">
                  <c:v>24.3106002766458</c:v>
                </c:pt>
                <c:pt idx="225">
                  <c:v>29.2580330466799</c:v>
                </c:pt>
                <c:pt idx="226">
                  <c:v>32.5202735318135</c:v>
                </c:pt>
                <c:pt idx="227">
                  <c:v>33.863109988864</c:v>
                </c:pt>
                <c:pt idx="228">
                  <c:v>33.2840857337622</c:v>
                </c:pt>
                <c:pt idx="229">
                  <c:v>30.9926158000663</c:v>
                </c:pt>
                <c:pt idx="230">
                  <c:v>27.310134214084</c:v>
                </c:pt>
                <c:pt idx="231">
                  <c:v>22.5643486430829</c:v>
                </c:pt>
                <c:pt idx="232">
                  <c:v>17.0327056844408</c:v>
                </c:pt>
                <c:pt idx="233">
                  <c:v>10.9374752128795</c:v>
                </c:pt>
                <c:pt idx="234">
                  <c:v>4.49514822308539</c:v>
                </c:pt>
                <c:pt idx="235">
                  <c:v>-1.82305197294961</c:v>
                </c:pt>
                <c:pt idx="236">
                  <c:v>-9.5315043086638</c:v>
                </c:pt>
                <c:pt idx="237">
                  <c:v>-16.4502331590284</c:v>
                </c:pt>
                <c:pt idx="238">
                  <c:v>-23.1859289852808</c:v>
                </c:pt>
                <c:pt idx="239">
                  <c:v>-29.4842292386573</c:v>
                </c:pt>
                <c:pt idx="240">
                  <c:v>-34.9985935837726</c:v>
                </c:pt>
                <c:pt idx="241">
                  <c:v>-39.2762967641859</c:v>
                </c:pt>
                <c:pt idx="242">
                  <c:v>-41.7943207833465</c:v>
                </c:pt>
                <c:pt idx="243">
                  <c:v>-42.09292875295</c:v>
                </c:pt>
                <c:pt idx="244">
                  <c:v>-39.9689901050698</c:v>
                </c:pt>
                <c:pt idx="245">
                  <c:v>-35.5649524606044</c:v>
                </c:pt>
                <c:pt idx="246">
                  <c:v>-29.2635292447453</c:v>
                </c:pt>
                <c:pt idx="247">
                  <c:v>-21.5162263860105</c:v>
                </c:pt>
                <c:pt idx="248">
                  <c:v>-12.7486172808899</c:v>
                </c:pt>
                <c:pt idx="249">
                  <c:v>-2.78901082351454</c:v>
                </c:pt>
                <c:pt idx="250">
                  <c:v>6.67349269660506</c:v>
                </c:pt>
                <c:pt idx="251">
                  <c:v>16.3093359448756</c:v>
                </c:pt>
                <c:pt idx="252">
                  <c:v>25.5207649158607</c:v>
                </c:pt>
                <c:pt idx="253">
                  <c:v>33.7630981929695</c:v>
                </c:pt>
                <c:pt idx="254">
                  <c:v>40.423954285805</c:v>
                </c:pt>
                <c:pt idx="255">
                  <c:v>44.8434718134226</c:v>
                </c:pt>
                <c:pt idx="256">
                  <c:v>46.5067602139931</c:v>
                </c:pt>
                <c:pt idx="257">
                  <c:v>45.3291633021874</c:v>
                </c:pt>
                <c:pt idx="258">
                  <c:v>41.7225215938381</c:v>
                </c:pt>
                <c:pt idx="259">
                  <c:v>36.32461902257</c:v>
                </c:pt>
                <c:pt idx="260">
                  <c:v>29.7075300062083</c:v>
                </c:pt>
                <c:pt idx="261">
                  <c:v>22.2762456718436</c:v>
                </c:pt>
                <c:pt idx="262">
                  <c:v>14.2959196714706</c:v>
                </c:pt>
                <c:pt idx="263">
                  <c:v>5.97411550203413</c:v>
                </c:pt>
                <c:pt idx="264">
                  <c:v>-2.27797443219753</c:v>
                </c:pt>
                <c:pt idx="265">
                  <c:v>-11.7751247979904</c:v>
                </c:pt>
                <c:pt idx="266">
                  <c:v>-20.6513124805647</c:v>
                </c:pt>
                <c:pt idx="267">
                  <c:v>-29.4080802262254</c:v>
                </c:pt>
                <c:pt idx="268">
                  <c:v>-37.7334890376627</c:v>
                </c:pt>
                <c:pt idx="269">
                  <c:v>-45.1097698173242</c:v>
                </c:pt>
                <c:pt idx="270">
                  <c:v>-50.7034075580209</c:v>
                </c:pt>
                <c:pt idx="271">
                  <c:v>-53.4085103920547</c:v>
                </c:pt>
                <c:pt idx="272">
                  <c:v>-52.3793303715205</c:v>
                </c:pt>
                <c:pt idx="273">
                  <c:v>-47.7475677278429</c:v>
                </c:pt>
                <c:pt idx="274">
                  <c:v>-40.4329902764696</c:v>
                </c:pt>
                <c:pt idx="275">
                  <c:v>-31.3932106836193</c:v>
                </c:pt>
                <c:pt idx="276">
                  <c:v>-21.3032072851022</c:v>
                </c:pt>
                <c:pt idx="277">
                  <c:v>-10.606286254029</c:v>
                </c:pt>
                <c:pt idx="278">
                  <c:v>0.942583185636303</c:v>
                </c:pt>
                <c:pt idx="279">
                  <c:v>11.7389357839974</c:v>
                </c:pt>
                <c:pt idx="280">
                  <c:v>22.6393814492935</c:v>
                </c:pt>
                <c:pt idx="281">
                  <c:v>33.0417471315544</c:v>
                </c:pt>
                <c:pt idx="282">
                  <c:v>42.4718983921883</c:v>
                </c:pt>
                <c:pt idx="283">
                  <c:v>50.2460710593058</c:v>
                </c:pt>
                <c:pt idx="284">
                  <c:v>55.3974161219003</c:v>
                </c:pt>
                <c:pt idx="285">
                  <c:v>56.9450812760121</c:v>
                </c:pt>
                <c:pt idx="286">
                  <c:v>54.6801896834607</c:v>
                </c:pt>
                <c:pt idx="287">
                  <c:v>49.4385432624617</c:v>
                </c:pt>
                <c:pt idx="288">
                  <c:v>42.3184240994839</c:v>
                </c:pt>
                <c:pt idx="289">
                  <c:v>34.0951486941955</c:v>
                </c:pt>
                <c:pt idx="290">
                  <c:v>25.2023698841608</c:v>
                </c:pt>
                <c:pt idx="291">
                  <c:v>15.8687711337017</c:v>
                </c:pt>
                <c:pt idx="292">
                  <c:v>6.25171883872706</c:v>
                </c:pt>
                <c:pt idx="293">
                  <c:v>-3.63910964350606</c:v>
                </c:pt>
                <c:pt idx="294">
                  <c:v>-14.1221725964496</c:v>
                </c:pt>
                <c:pt idx="295">
                  <c:v>-24.4364672480097</c:v>
                </c:pt>
                <c:pt idx="296">
                  <c:v>-34.7433751968822</c:v>
                </c:pt>
                <c:pt idx="297">
                  <c:v>-44.7011583952816</c:v>
                </c:pt>
                <c:pt idx="298">
                  <c:v>-53.6133067821602</c:v>
                </c:pt>
                <c:pt idx="299">
                  <c:v>-60.0795520133523</c:v>
                </c:pt>
                <c:pt idx="300">
                  <c:v>-61.9770997564991</c:v>
                </c:pt>
                <c:pt idx="301">
                  <c:v>-58.290146668442</c:v>
                </c:pt>
                <c:pt idx="302">
                  <c:v>-50.5154277733129</c:v>
                </c:pt>
                <c:pt idx="303">
                  <c:v>-40.5819975203285</c:v>
                </c:pt>
                <c:pt idx="304">
                  <c:v>-29.61497278997</c:v>
                </c:pt>
                <c:pt idx="305">
                  <c:v>-18.1714213719978</c:v>
                </c:pt>
                <c:pt idx="306">
                  <c:v>-6.5234915684572</c:v>
                </c:pt>
                <c:pt idx="307">
                  <c:v>5.39216277263832</c:v>
                </c:pt>
                <c:pt idx="308">
                  <c:v>16.8647463487889</c:v>
                </c:pt>
                <c:pt idx="309">
                  <c:v>28.1339374852065</c:v>
                </c:pt>
                <c:pt idx="310">
                  <c:v>38.9078951330709</c:v>
                </c:pt>
                <c:pt idx="311">
                  <c:v>48.8086042957279</c:v>
                </c:pt>
                <c:pt idx="312">
                  <c:v>57.1581175637976</c:v>
                </c:pt>
                <c:pt idx="313">
                  <c:v>62.7274675081948</c:v>
                </c:pt>
                <c:pt idx="314">
                  <c:v>63.9586076543275</c:v>
                </c:pt>
                <c:pt idx="315">
                  <c:v>60.5394139393046</c:v>
                </c:pt>
                <c:pt idx="316">
                  <c:v>53.9193569377433</c:v>
                </c:pt>
                <c:pt idx="317">
                  <c:v>45.5885787121227</c:v>
                </c:pt>
                <c:pt idx="318">
                  <c:v>36.3637533966831</c:v>
                </c:pt>
                <c:pt idx="319">
                  <c:v>26.6160977017623</c:v>
                </c:pt>
                <c:pt idx="320">
                  <c:v>16.5066709579861</c:v>
                </c:pt>
                <c:pt idx="321">
                  <c:v>6.14021029748287</c:v>
                </c:pt>
                <c:pt idx="322">
                  <c:v>-4.71557367072885</c:v>
                </c:pt>
                <c:pt idx="323">
                  <c:v>-15.8508867054927</c:v>
                </c:pt>
                <c:pt idx="324">
                  <c:v>-27.0983642722182</c:v>
                </c:pt>
                <c:pt idx="325">
                  <c:v>-38.4339666199103</c:v>
                </c:pt>
                <c:pt idx="326">
                  <c:v>-49.4817069774048</c:v>
                </c:pt>
                <c:pt idx="327">
                  <c:v>-59.3588574881116</c:v>
                </c:pt>
                <c:pt idx="328">
                  <c:v>-65.9561677447496</c:v>
                </c:pt>
                <c:pt idx="329">
                  <c:v>-65.9949796581952</c:v>
                </c:pt>
                <c:pt idx="330">
                  <c:v>-59.3822762558105</c:v>
                </c:pt>
                <c:pt idx="331">
                  <c:v>-49.330246710633</c:v>
                </c:pt>
                <c:pt idx="332">
                  <c:v>-37.9491646306394</c:v>
                </c:pt>
                <c:pt idx="333">
                  <c:v>-26.1175626721542</c:v>
                </c:pt>
                <c:pt idx="334">
                  <c:v>-14.2151784378867</c:v>
                </c:pt>
                <c:pt idx="335">
                  <c:v>-1.59678181502916</c:v>
                </c:pt>
                <c:pt idx="336">
                  <c:v>9.45054051711403</c:v>
                </c:pt>
                <c:pt idx="337">
                  <c:v>20.8072765271011</c:v>
                </c:pt>
                <c:pt idx="338">
                  <c:v>31.852287458691</c:v>
                </c:pt>
                <c:pt idx="339">
                  <c:v>42.4027670733745</c:v>
                </c:pt>
                <c:pt idx="340">
                  <c:v>52.1478961786848</c:v>
                </c:pt>
                <c:pt idx="341">
                  <c:v>60.4348181685752</c:v>
                </c:pt>
                <c:pt idx="342">
                  <c:v>65.9128635825951</c:v>
                </c:pt>
                <c:pt idx="343">
                  <c:v>66.7174342462603</c:v>
                </c:pt>
                <c:pt idx="344">
                  <c:v>62.5799177198779</c:v>
                </c:pt>
                <c:pt idx="345">
                  <c:v>55.3074454648743</c:v>
                </c:pt>
                <c:pt idx="346">
                  <c:v>46.4787019354018</c:v>
                </c:pt>
                <c:pt idx="347">
                  <c:v>36.8568793768473</c:v>
                </c:pt>
                <c:pt idx="348">
                  <c:v>26.7592689965787</c:v>
                </c:pt>
                <c:pt idx="349">
                  <c:v>16.31029604648</c:v>
                </c:pt>
                <c:pt idx="350">
                  <c:v>5.5980177220203</c:v>
                </c:pt>
                <c:pt idx="351">
                  <c:v>-5.73420226091057</c:v>
                </c:pt>
                <c:pt idx="352">
                  <c:v>-17.2117943723543</c:v>
                </c:pt>
                <c:pt idx="353">
                  <c:v>-28.9082357090878</c:v>
                </c:pt>
                <c:pt idx="354">
                  <c:v>-40.6749014615635</c:v>
                </c:pt>
                <c:pt idx="355">
                  <c:v>-52.0368039794866</c:v>
                </c:pt>
                <c:pt idx="356">
                  <c:v>-61.836746153019</c:v>
                </c:pt>
                <c:pt idx="357">
                  <c:v>-67.3066740171694</c:v>
                </c:pt>
                <c:pt idx="358">
                  <c:v>-65.1311063867491</c:v>
                </c:pt>
                <c:pt idx="359">
                  <c:v>-56.8374580999003</c:v>
                </c:pt>
                <c:pt idx="360">
                  <c:v>-45.9434880171321</c:v>
                </c:pt>
                <c:pt idx="361">
                  <c:v>-34.1980829489782</c:v>
                </c:pt>
                <c:pt idx="362">
                  <c:v>-22.2937490807547</c:v>
                </c:pt>
                <c:pt idx="363">
                  <c:v>-10.535080208248</c:v>
                </c:pt>
                <c:pt idx="364">
                  <c:v>1.43936715907436</c:v>
                </c:pt>
                <c:pt idx="365">
                  <c:v>12.3895073276908</c:v>
                </c:pt>
              </c:numCache>
            </c:numRef>
          </c:yVal>
          <c:smooth val="0"/>
        </c:ser>
        <c:axId val="26040411"/>
        <c:axId val="98466205"/>
      </c:scatterChart>
      <c:valAx>
        <c:axId val="26040411"/>
        <c:scaling>
          <c:orientation val="minMax"/>
          <c:max val="366"/>
          <c:min val="1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96355416643411"/>
              <c:y val="0.537022114781986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8466205"/>
        <c:crosses val="autoZero"/>
        <c:crossBetween val="midCat"/>
        <c:majorUnit val="30"/>
      </c:valAx>
      <c:valAx>
        <c:axId val="98466205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elev_r</a:t>
                </a:r>
              </a:p>
            </c:rich>
          </c:tx>
          <c:layout>
            <c:manualLayout>
              <c:xMode val="edge"/>
              <c:yMode val="edge"/>
              <c:x val="0.0945470781938941"/>
              <c:y val="-0.0391261527442027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6040411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spPr>
            <a:noFill/>
            <a:ln cap="rnd"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elev__az!$E$2:$E$367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elev__az!$H$2:$H$367</c:f>
              <c:numCache>
                <c:formatCode>General</c:formatCode>
                <c:ptCount val="366"/>
                <c:pt idx="1">
                  <c:v>49.3204342912463</c:v>
                </c:pt>
                <c:pt idx="2">
                  <c:v>21.5997424780006</c:v>
                </c:pt>
                <c:pt idx="4">
                  <c:v>324.261432007867</c:v>
                </c:pt>
                <c:pt idx="5">
                  <c:v>309.524740759347</c:v>
                </c:pt>
                <c:pt idx="6">
                  <c:v>300.10699553417</c:v>
                </c:pt>
                <c:pt idx="7">
                  <c:v>293.379762001343</c:v>
                </c:pt>
                <c:pt idx="8">
                  <c:v>288.02723817552</c:v>
                </c:pt>
                <c:pt idx="9">
                  <c:v>283.335006105549</c:v>
                </c:pt>
                <c:pt idx="10">
                  <c:v>278.84301302947</c:v>
                </c:pt>
                <c:pt idx="11">
                  <c:v>274.176490893609</c:v>
                </c:pt>
                <c:pt idx="12">
                  <c:v>268.93771391459</c:v>
                </c:pt>
                <c:pt idx="13">
                  <c:v>262.597256484658</c:v>
                </c:pt>
                <c:pt idx="14">
                  <c:v>254.338937216209</c:v>
                </c:pt>
                <c:pt idx="15">
                  <c:v>242.839985664181</c:v>
                </c:pt>
                <c:pt idx="16">
                  <c:v>226.229501061822</c:v>
                </c:pt>
                <c:pt idx="17">
                  <c:v>203.567470318567</c:v>
                </c:pt>
                <c:pt idx="18">
                  <c:v>178.674687245769</c:v>
                </c:pt>
                <c:pt idx="19">
                  <c:v>158.021851362998</c:v>
                </c:pt>
                <c:pt idx="20">
                  <c:v>143.312933207703</c:v>
                </c:pt>
                <c:pt idx="21">
                  <c:v>132.883807043159</c:v>
                </c:pt>
                <c:pt idx="22">
                  <c:v>125.00316931068</c:v>
                </c:pt>
                <c:pt idx="23">
                  <c:v>118.528601857523</c:v>
                </c:pt>
                <c:pt idx="24">
                  <c:v>112.71900709183</c:v>
                </c:pt>
                <c:pt idx="25">
                  <c:v>107.020690970771</c:v>
                </c:pt>
                <c:pt idx="26">
                  <c:v>100.907525515055</c:v>
                </c:pt>
                <c:pt idx="27">
                  <c:v>93.7258749932274</c:v>
                </c:pt>
                <c:pt idx="28">
                  <c:v>84.4766976665831</c:v>
                </c:pt>
                <c:pt idx="29">
                  <c:v>71.4875275571152</c:v>
                </c:pt>
                <c:pt idx="30">
                  <c:v>52.3318475703787</c:v>
                </c:pt>
                <c:pt idx="31">
                  <c:v>26.2587609898919</c:v>
                </c:pt>
                <c:pt idx="33">
                  <c:v>339.111824620042</c:v>
                </c:pt>
                <c:pt idx="34">
                  <c:v>325.285963301752</c:v>
                </c:pt>
                <c:pt idx="35">
                  <c:v>315.544331063737</c:v>
                </c:pt>
                <c:pt idx="36">
                  <c:v>308.092398316821</c:v>
                </c:pt>
                <c:pt idx="37">
                  <c:v>301.873520854573</c:v>
                </c:pt>
                <c:pt idx="38">
                  <c:v>296.240141736393</c:v>
                </c:pt>
                <c:pt idx="39">
                  <c:v>290.735480482666</c:v>
                </c:pt>
                <c:pt idx="40">
                  <c:v>284.965279155465</c:v>
                </c:pt>
                <c:pt idx="41">
                  <c:v>278.506657408645</c:v>
                </c:pt>
                <c:pt idx="42">
                  <c:v>270.820546715974</c:v>
                </c:pt>
                <c:pt idx="43">
                  <c:v>261.156637313886</c:v>
                </c:pt>
                <c:pt idx="44">
                  <c:v>248.509291212037</c:v>
                </c:pt>
                <c:pt idx="45">
                  <c:v>231.920628564857</c:v>
                </c:pt>
                <c:pt idx="46">
                  <c:v>211.705488369908</c:v>
                </c:pt>
                <c:pt idx="47">
                  <c:v>190.743329283111</c:v>
                </c:pt>
                <c:pt idx="48">
                  <c:v>172.541755565837</c:v>
                </c:pt>
                <c:pt idx="49">
                  <c:v>158.239526611691</c:v>
                </c:pt>
                <c:pt idx="50">
                  <c:v>147.102477451481</c:v>
                </c:pt>
                <c:pt idx="51">
                  <c:v>138.039183426894</c:v>
                </c:pt>
                <c:pt idx="52">
                  <c:v>130.157801487152</c:v>
                </c:pt>
                <c:pt idx="53">
                  <c:v>122.779508551975</c:v>
                </c:pt>
                <c:pt idx="54">
                  <c:v>115.333068582204</c:v>
                </c:pt>
                <c:pt idx="55">
                  <c:v>107.24259143297</c:v>
                </c:pt>
                <c:pt idx="56">
                  <c:v>97.8163631928754</c:v>
                </c:pt>
                <c:pt idx="57">
                  <c:v>86.1497927170507</c:v>
                </c:pt>
                <c:pt idx="58">
                  <c:v>71.1755021269346</c:v>
                </c:pt>
                <c:pt idx="59">
                  <c:v>52.3064640300121</c:v>
                </c:pt>
                <c:pt idx="60">
                  <c:v>30.9394230300014</c:v>
                </c:pt>
                <c:pt idx="61">
                  <c:v>10.5875063549209</c:v>
                </c:pt>
                <c:pt idx="63">
                  <c:v>340.752798352581</c:v>
                </c:pt>
                <c:pt idx="64">
                  <c:v>330.417056849543</c:v>
                </c:pt>
                <c:pt idx="65">
                  <c:v>321.833822113446</c:v>
                </c:pt>
                <c:pt idx="66">
                  <c:v>314.270627833226</c:v>
                </c:pt>
                <c:pt idx="67">
                  <c:v>307.192130159486</c:v>
                </c:pt>
                <c:pt idx="68">
                  <c:v>300.174114073684</c:v>
                </c:pt>
                <c:pt idx="69">
                  <c:v>292.832316106192</c:v>
                </c:pt>
                <c:pt idx="70">
                  <c:v>284.766393333602</c:v>
                </c:pt>
                <c:pt idx="71">
                  <c:v>275.517441749669</c:v>
                </c:pt>
                <c:pt idx="72">
                  <c:v>264.557437371699</c:v>
                </c:pt>
                <c:pt idx="73">
                  <c:v>251.376505068311</c:v>
                </c:pt>
                <c:pt idx="74">
                  <c:v>235.786733764449</c:v>
                </c:pt>
                <c:pt idx="75">
                  <c:v>218.419737146625</c:v>
                </c:pt>
                <c:pt idx="76">
                  <c:v>200.834136329452</c:v>
                </c:pt>
                <c:pt idx="77">
                  <c:v>184.64942585219</c:v>
                </c:pt>
                <c:pt idx="78">
                  <c:v>170.597073405843</c:v>
                </c:pt>
                <c:pt idx="79">
                  <c:v>158.528591916363</c:v>
                </c:pt>
                <c:pt idx="80">
                  <c:v>147.908508460146</c:v>
                </c:pt>
                <c:pt idx="81">
                  <c:v>138.144834805086</c:v>
                </c:pt>
                <c:pt idx="82">
                  <c:v>128.690942699739</c:v>
                </c:pt>
                <c:pt idx="83">
                  <c:v>119.040521984996</c:v>
                </c:pt>
                <c:pt idx="84">
                  <c:v>108.697311197911</c:v>
                </c:pt>
                <c:pt idx="85">
                  <c:v>97.1650356022064</c:v>
                </c:pt>
                <c:pt idx="86">
                  <c:v>84.0076607495955</c:v>
                </c:pt>
                <c:pt idx="87">
                  <c:v>69.0439125467362</c:v>
                </c:pt>
                <c:pt idx="88">
                  <c:v>52.6540190998024</c:v>
                </c:pt>
                <c:pt idx="89">
                  <c:v>35.8906876381782</c:v>
                </c:pt>
                <c:pt idx="90">
                  <c:v>20.0228765819615</c:v>
                </c:pt>
                <c:pt idx="91">
                  <c:v>5.85182649047619</c:v>
                </c:pt>
                <c:pt idx="93">
                  <c:v>342.701419809631</c:v>
                </c:pt>
                <c:pt idx="94">
                  <c:v>333.012647537968</c:v>
                </c:pt>
                <c:pt idx="95">
                  <c:v>324.027884861538</c:v>
                </c:pt>
                <c:pt idx="96">
                  <c:v>315.38054865218</c:v>
                </c:pt>
                <c:pt idx="97">
                  <c:v>306.744100517481</c:v>
                </c:pt>
                <c:pt idx="98">
                  <c:v>297.813342765754</c:v>
                </c:pt>
                <c:pt idx="99">
                  <c:v>288.287831056647</c:v>
                </c:pt>
                <c:pt idx="100">
                  <c:v>277.867715750745</c:v>
                </c:pt>
                <c:pt idx="101">
                  <c:v>266.27688819504</c:v>
                </c:pt>
                <c:pt idx="102">
                  <c:v>253.333575678502</c:v>
                </c:pt>
                <c:pt idx="103">
                  <c:v>239.073579104178</c:v>
                </c:pt>
                <c:pt idx="104">
                  <c:v>223.865458608271</c:v>
                </c:pt>
                <c:pt idx="105">
                  <c:v>208.375904179048</c:v>
                </c:pt>
                <c:pt idx="106">
                  <c:v>193.316826804506</c:v>
                </c:pt>
                <c:pt idx="107">
                  <c:v>179.151322375782</c:v>
                </c:pt>
                <c:pt idx="108">
                  <c:v>165.990041162385</c:v>
                </c:pt>
                <c:pt idx="109">
                  <c:v>153.678039694969</c:v>
                </c:pt>
                <c:pt idx="110">
                  <c:v>141.929123804925</c:v>
                </c:pt>
                <c:pt idx="111">
                  <c:v>130.42066752886</c:v>
                </c:pt>
                <c:pt idx="112">
                  <c:v>118.84393242316</c:v>
                </c:pt>
                <c:pt idx="113">
                  <c:v>106.93412577109</c:v>
                </c:pt>
                <c:pt idx="114">
                  <c:v>94.5019656044898</c:v>
                </c:pt>
                <c:pt idx="115">
                  <c:v>81.4755877757232</c:v>
                </c:pt>
                <c:pt idx="116">
                  <c:v>67.9413747728181</c:v>
                </c:pt>
                <c:pt idx="117">
                  <c:v>54.1502194737375</c:v>
                </c:pt>
                <c:pt idx="118">
                  <c:v>40.4570038443698</c:v>
                </c:pt>
                <c:pt idx="119">
                  <c:v>27.206331819382</c:v>
                </c:pt>
                <c:pt idx="120">
                  <c:v>14.6283858881041</c:v>
                </c:pt>
                <c:pt idx="121">
                  <c:v>2.79955378026088</c:v>
                </c:pt>
                <c:pt idx="123">
                  <c:v>341.091174606294</c:v>
                </c:pt>
                <c:pt idx="124">
                  <c:v>330.901092926093</c:v>
                </c:pt>
                <c:pt idx="125">
                  <c:v>320.908539612831</c:v>
                </c:pt>
                <c:pt idx="126">
                  <c:v>310.926173023598</c:v>
                </c:pt>
                <c:pt idx="127">
                  <c:v>300.7696553147</c:v>
                </c:pt>
                <c:pt idx="128">
                  <c:v>290.258549642834</c:v>
                </c:pt>
                <c:pt idx="129">
                  <c:v>279.220539757673</c:v>
                </c:pt>
                <c:pt idx="130">
                  <c:v>267.504491845857</c:v>
                </c:pt>
                <c:pt idx="131">
                  <c:v>255.006340652319</c:v>
                </c:pt>
                <c:pt idx="132">
                  <c:v>241.706086780761</c:v>
                </c:pt>
                <c:pt idx="133">
                  <c:v>227.702312235762</c:v>
                </c:pt>
                <c:pt idx="134">
                  <c:v>213.218212923862</c:v>
                </c:pt>
                <c:pt idx="135">
                  <c:v>198.557622488204</c:v>
                </c:pt>
                <c:pt idx="136">
                  <c:v>184.021517793711</c:v>
                </c:pt>
                <c:pt idx="137">
                  <c:v>169.829271234821</c:v>
                </c:pt>
                <c:pt idx="138">
                  <c:v>156.084414202493</c:v>
                </c:pt>
                <c:pt idx="139">
                  <c:v>142.787963099657</c:v>
                </c:pt>
                <c:pt idx="140">
                  <c:v>129.875584279913</c:v>
                </c:pt>
                <c:pt idx="141">
                  <c:v>117.255344682647</c:v>
                </c:pt>
                <c:pt idx="142">
                  <c:v>104.835637886556</c:v>
                </c:pt>
                <c:pt idx="143">
                  <c:v>92.5425976747102</c:v>
                </c:pt>
                <c:pt idx="144">
                  <c:v>80.3294451752251</c:v>
                </c:pt>
                <c:pt idx="145">
                  <c:v>68.1795233832014</c:v>
                </c:pt>
                <c:pt idx="146">
                  <c:v>56.1034774232952</c:v>
                </c:pt>
                <c:pt idx="147">
                  <c:v>44.1309903902966</c:v>
                </c:pt>
                <c:pt idx="148">
                  <c:v>32.2988396481537</c:v>
                </c:pt>
                <c:pt idx="149">
                  <c:v>20.6385462916393</c:v>
                </c:pt>
                <c:pt idx="150">
                  <c:v>9.16703028318722</c:v>
                </c:pt>
                <c:pt idx="152">
                  <c:v>346.76200904403</c:v>
                </c:pt>
                <c:pt idx="153">
                  <c:v>335.767739081429</c:v>
                </c:pt>
                <c:pt idx="154">
                  <c:v>324.844618554899</c:v>
                </c:pt>
                <c:pt idx="155">
                  <c:v>313.923384337982</c:v>
                </c:pt>
                <c:pt idx="156">
                  <c:v>302.920276527593</c:v>
                </c:pt>
                <c:pt idx="157">
                  <c:v>291.737883666053</c:v>
                </c:pt>
                <c:pt idx="158">
                  <c:v>280.268681594407</c:v>
                </c:pt>
                <c:pt idx="159">
                  <c:v>268.403021248281</c:v>
                </c:pt>
                <c:pt idx="160">
                  <c:v>256.042446049503</c:v>
                </c:pt>
                <c:pt idx="161">
                  <c:v>243.117792587447</c:v>
                </c:pt>
                <c:pt idx="162">
                  <c:v>229.609547389091</c:v>
                </c:pt>
                <c:pt idx="163">
                  <c:v>215.565410983171</c:v>
                </c:pt>
                <c:pt idx="164">
                  <c:v>201.107693876613</c:v>
                </c:pt>
                <c:pt idx="165">
                  <c:v>186.423347951766</c:v>
                </c:pt>
                <c:pt idx="166">
                  <c:v>171.734860084179</c:v>
                </c:pt>
                <c:pt idx="167">
                  <c:v>157.259809848435</c:v>
                </c:pt>
                <c:pt idx="168">
                  <c:v>143.173629034893</c:v>
                </c:pt>
                <c:pt idx="169">
                  <c:v>129.58768937904</c:v>
                </c:pt>
                <c:pt idx="170">
                  <c:v>116.545726444621</c:v>
                </c:pt>
                <c:pt idx="171">
                  <c:v>104.033778942726</c:v>
                </c:pt>
                <c:pt idx="172">
                  <c:v>91.996482615997</c:v>
                </c:pt>
                <c:pt idx="173">
                  <c:v>80.3540478863672</c:v>
                </c:pt>
                <c:pt idx="174">
                  <c:v>69.0165922505368</c:v>
                </c:pt>
                <c:pt idx="175">
                  <c:v>57.8943725171579</c:v>
                </c:pt>
                <c:pt idx="176">
                  <c:v>46.9038303573232</c:v>
                </c:pt>
                <c:pt idx="177">
                  <c:v>35.9703586101449</c:v>
                </c:pt>
                <c:pt idx="178">
                  <c:v>25.029233184272</c:v>
                </c:pt>
                <c:pt idx="179">
                  <c:v>14.0260984553742</c:v>
                </c:pt>
                <c:pt idx="180">
                  <c:v>2.91777145449282</c:v>
                </c:pt>
                <c:pt idx="182">
                  <c:v>340.27376024789</c:v>
                </c:pt>
                <c:pt idx="183">
                  <c:v>328.711530202711</c:v>
                </c:pt>
                <c:pt idx="184">
                  <c:v>316.985629471659</c:v>
                </c:pt>
                <c:pt idx="185">
                  <c:v>305.096947414019</c:v>
                </c:pt>
                <c:pt idx="186">
                  <c:v>293.043347974951</c:v>
                </c:pt>
                <c:pt idx="187">
                  <c:v>280.816921468858</c:v>
                </c:pt>
                <c:pt idx="188">
                  <c:v>268.40357864626</c:v>
                </c:pt>
                <c:pt idx="189">
                  <c:v>255.783617698835</c:v>
                </c:pt>
                <c:pt idx="190">
                  <c:v>242.931587277667</c:v>
                </c:pt>
                <c:pt idx="191">
                  <c:v>229.815624475785</c:v>
                </c:pt>
                <c:pt idx="192">
                  <c:v>216.399467613471</c:v>
                </c:pt>
                <c:pt idx="193">
                  <c:v>202.652174660669</c:v>
                </c:pt>
                <c:pt idx="194">
                  <c:v>188.568980266456</c:v>
                </c:pt>
                <c:pt idx="195">
                  <c:v>174.200511786541</c:v>
                </c:pt>
                <c:pt idx="196">
                  <c:v>159.67761579015</c:v>
                </c:pt>
                <c:pt idx="197">
                  <c:v>145.211496802765</c:v>
                </c:pt>
                <c:pt idx="198">
                  <c:v>131.055733719255</c:v>
                </c:pt>
                <c:pt idx="199">
                  <c:v>117.441677142243</c:v>
                </c:pt>
                <c:pt idx="200">
                  <c:v>104.520876916953</c:v>
                </c:pt>
                <c:pt idx="201">
                  <c:v>92.3421190209561</c:v>
                </c:pt>
                <c:pt idx="202">
                  <c:v>80.8636282447216</c:v>
                </c:pt>
                <c:pt idx="203">
                  <c:v>69.9819837453262</c:v>
                </c:pt>
                <c:pt idx="204">
                  <c:v>59.5597526493746</c:v>
                </c:pt>
                <c:pt idx="205">
                  <c:v>49.4436892308418</c:v>
                </c:pt>
                <c:pt idx="206">
                  <c:v>39.4735295207166</c:v>
                </c:pt>
                <c:pt idx="207">
                  <c:v>29.4849824269087</c:v>
                </c:pt>
                <c:pt idx="208">
                  <c:v>19.3111511533311</c:v>
                </c:pt>
                <c:pt idx="209">
                  <c:v>8.78640485246524</c:v>
                </c:pt>
                <c:pt idx="211">
                  <c:v>346.099860962417</c:v>
                </c:pt>
                <c:pt idx="212">
                  <c:v>333.757658871201</c:v>
                </c:pt>
                <c:pt idx="213">
                  <c:v>320.772196861619</c:v>
                </c:pt>
                <c:pt idx="214">
                  <c:v>307.308320569251</c:v>
                </c:pt>
                <c:pt idx="215">
                  <c:v>293.635103721591</c:v>
                </c:pt>
                <c:pt idx="216">
                  <c:v>280.056907534126</c:v>
                </c:pt>
                <c:pt idx="217">
                  <c:v>266.821477175015</c:v>
                </c:pt>
                <c:pt idx="218">
                  <c:v>254.05224461635</c:v>
                </c:pt>
                <c:pt idx="219">
                  <c:v>241.729755508522</c:v>
                </c:pt>
                <c:pt idx="220">
                  <c:v>229.711162301605</c:v>
                </c:pt>
                <c:pt idx="221">
                  <c:v>217.763603300055</c:v>
                </c:pt>
                <c:pt idx="222">
                  <c:v>205.59812385001</c:v>
                </c:pt>
                <c:pt idx="223">
                  <c:v>192.90860869166</c:v>
                </c:pt>
                <c:pt idx="224">
                  <c:v>179.433962067263</c:v>
                </c:pt>
                <c:pt idx="225">
                  <c:v>165.061357992382</c:v>
                </c:pt>
                <c:pt idx="226">
                  <c:v>149.951685920802</c:v>
                </c:pt>
                <c:pt idx="227">
                  <c:v>134.590714823292</c:v>
                </c:pt>
                <c:pt idx="228">
                  <c:v>119.65040221653</c:v>
                </c:pt>
                <c:pt idx="229">
                  <c:v>105.709651491291</c:v>
                </c:pt>
                <c:pt idx="230">
                  <c:v>93.0554967264304</c:v>
                </c:pt>
                <c:pt idx="231">
                  <c:v>81.6823244191969</c:v>
                </c:pt>
                <c:pt idx="232">
                  <c:v>71.403183872686</c:v>
                </c:pt>
                <c:pt idx="233">
                  <c:v>61.9554730043669</c:v>
                </c:pt>
                <c:pt idx="234">
                  <c:v>53.0586093962286</c:v>
                </c:pt>
                <c:pt idx="235">
                  <c:v>44.4318037940259</c:v>
                </c:pt>
                <c:pt idx="236">
                  <c:v>35.7894185117546</c:v>
                </c:pt>
                <c:pt idx="237">
                  <c:v>26.82622771722</c:v>
                </c:pt>
                <c:pt idx="238">
                  <c:v>17.2011751740043</c:v>
                </c:pt>
                <c:pt idx="239">
                  <c:v>6.53187918562955</c:v>
                </c:pt>
                <c:pt idx="241">
                  <c:v>340.60691568073</c:v>
                </c:pt>
                <c:pt idx="242">
                  <c:v>325.146500100049</c:v>
                </c:pt>
                <c:pt idx="243">
                  <c:v>308.715440504228</c:v>
                </c:pt>
                <c:pt idx="244">
                  <c:v>292.456403005508</c:v>
                </c:pt>
                <c:pt idx="245">
                  <c:v>277.407578851371</c:v>
                </c:pt>
                <c:pt idx="246">
                  <c:v>264.028054788802</c:v>
                </c:pt>
                <c:pt idx="247">
                  <c:v>252.221009238197</c:v>
                </c:pt>
                <c:pt idx="248">
                  <c:v>241.598907103243</c:v>
                </c:pt>
                <c:pt idx="249">
                  <c:v>231.681738715524</c:v>
                </c:pt>
                <c:pt idx="250">
                  <c:v>221.970219149574</c:v>
                </c:pt>
                <c:pt idx="251">
                  <c:v>211.944380166223</c:v>
                </c:pt>
                <c:pt idx="252">
                  <c:v>201.038949669155</c:v>
                </c:pt>
                <c:pt idx="253">
                  <c:v>188.647267453145</c:v>
                </c:pt>
                <c:pt idx="254">
                  <c:v>174.24441744614</c:v>
                </c:pt>
                <c:pt idx="255">
                  <c:v>157.749917497503</c:v>
                </c:pt>
                <c:pt idx="256">
                  <c:v>140.011930131076</c:v>
                </c:pt>
                <c:pt idx="257">
                  <c:v>122.705921541625</c:v>
                </c:pt>
                <c:pt idx="258">
                  <c:v>107.312503011916</c:v>
                </c:pt>
                <c:pt idx="259">
                  <c:v>94.3468561027508</c:v>
                </c:pt>
                <c:pt idx="260">
                  <c:v>83.5589174126969</c:v>
                </c:pt>
                <c:pt idx="261">
                  <c:v>74.4273433320383</c:v>
                </c:pt>
                <c:pt idx="262">
                  <c:v>66.433487268411</c:v>
                </c:pt>
                <c:pt idx="263">
                  <c:v>59.1319975399706</c:v>
                </c:pt>
                <c:pt idx="264">
                  <c:v>52.1350758170482</c:v>
                </c:pt>
                <c:pt idx="265">
                  <c:v>45.069598950376</c:v>
                </c:pt>
                <c:pt idx="266">
                  <c:v>37.5223747494615</c:v>
                </c:pt>
                <c:pt idx="267">
                  <c:v>28.971399862568</c:v>
                </c:pt>
                <c:pt idx="268">
                  <c:v>18.7040692076685</c:v>
                </c:pt>
                <c:pt idx="269">
                  <c:v>5.77435515099813</c:v>
                </c:pt>
                <c:pt idx="271">
                  <c:v>329.208760591173</c:v>
                </c:pt>
                <c:pt idx="272">
                  <c:v>308.100486339201</c:v>
                </c:pt>
                <c:pt idx="273">
                  <c:v>289.329946836831</c:v>
                </c:pt>
                <c:pt idx="274">
                  <c:v>274.345887177779</c:v>
                </c:pt>
                <c:pt idx="275">
                  <c:v>262.638657234415</c:v>
                </c:pt>
                <c:pt idx="276">
                  <c:v>253.175487330255</c:v>
                </c:pt>
                <c:pt idx="277">
                  <c:v>245.059390550165</c:v>
                </c:pt>
                <c:pt idx="278">
                  <c:v>237.596461670446</c:v>
                </c:pt>
                <c:pt idx="279">
                  <c:v>230.204599771577</c:v>
                </c:pt>
                <c:pt idx="280">
                  <c:v>222.301541017367</c:v>
                </c:pt>
                <c:pt idx="281">
                  <c:v>213.187051900332</c:v>
                </c:pt>
                <c:pt idx="282">
                  <c:v>201.926446357535</c:v>
                </c:pt>
                <c:pt idx="283">
                  <c:v>187.35472329132</c:v>
                </c:pt>
                <c:pt idx="284">
                  <c:v>168.679587330982</c:v>
                </c:pt>
                <c:pt idx="285">
                  <c:v>147.171449016372</c:v>
                </c:pt>
                <c:pt idx="286">
                  <c:v>126.64239989843</c:v>
                </c:pt>
                <c:pt idx="287">
                  <c:v>110.032707571045</c:v>
                </c:pt>
                <c:pt idx="288">
                  <c:v>97.4996928504361</c:v>
                </c:pt>
                <c:pt idx="289">
                  <c:v>87.9717494842596</c:v>
                </c:pt>
                <c:pt idx="290">
                  <c:v>80.4043282516086</c:v>
                </c:pt>
                <c:pt idx="291">
                  <c:v>74.0407922791556</c:v>
                </c:pt>
                <c:pt idx="292">
                  <c:v>68.3447475368085</c:v>
                </c:pt>
                <c:pt idx="293">
                  <c:v>62.8963967224794</c:v>
                </c:pt>
                <c:pt idx="294">
                  <c:v>57.3014483697107</c:v>
                </c:pt>
                <c:pt idx="295">
                  <c:v>51.0968432201714</c:v>
                </c:pt>
                <c:pt idx="296">
                  <c:v>43.6169812202613</c:v>
                </c:pt>
                <c:pt idx="297">
                  <c:v>33.7646575626262</c:v>
                </c:pt>
                <c:pt idx="298">
                  <c:v>19.671498863703</c:v>
                </c:pt>
                <c:pt idx="300">
                  <c:v>331.762409983215</c:v>
                </c:pt>
                <c:pt idx="301">
                  <c:v>306.001641003178</c:v>
                </c:pt>
                <c:pt idx="302">
                  <c:v>287.388294944786</c:v>
                </c:pt>
                <c:pt idx="303">
                  <c:v>274.83618145624</c:v>
                </c:pt>
                <c:pt idx="304">
                  <c:v>265.906673388211</c:v>
                </c:pt>
                <c:pt idx="305">
                  <c:v>258.973719601828</c:v>
                </c:pt>
                <c:pt idx="306">
                  <c:v>253.07275542266</c:v>
                </c:pt>
                <c:pt idx="307">
                  <c:v>247.572612737861</c:v>
                </c:pt>
                <c:pt idx="308">
                  <c:v>241.963351646189</c:v>
                </c:pt>
                <c:pt idx="309">
                  <c:v>235.703512122199</c:v>
                </c:pt>
                <c:pt idx="310">
                  <c:v>228.056192149932</c:v>
                </c:pt>
                <c:pt idx="311">
                  <c:v>217.852961817373</c:v>
                </c:pt>
                <c:pt idx="312">
                  <c:v>203.232111813221</c:v>
                </c:pt>
                <c:pt idx="313">
                  <c:v>182.18559412223</c:v>
                </c:pt>
                <c:pt idx="314">
                  <c:v>156.264728444051</c:v>
                </c:pt>
                <c:pt idx="315">
                  <c:v>132.729826409647</c:v>
                </c:pt>
                <c:pt idx="316">
                  <c:v>115.837157210851</c:v>
                </c:pt>
                <c:pt idx="317">
                  <c:v>104.371308836252</c:v>
                </c:pt>
                <c:pt idx="318">
                  <c:v>96.2406561224785</c:v>
                </c:pt>
                <c:pt idx="319">
                  <c:v>90.0421725013431</c:v>
                </c:pt>
                <c:pt idx="320">
                  <c:v>84.9366015074314</c:v>
                </c:pt>
                <c:pt idx="321">
                  <c:v>80.3882478442984</c:v>
                </c:pt>
                <c:pt idx="322">
                  <c:v>75.9953614373653</c:v>
                </c:pt>
                <c:pt idx="323">
                  <c:v>71.3743217960624</c:v>
                </c:pt>
                <c:pt idx="324">
                  <c:v>66.0429703017117</c:v>
                </c:pt>
                <c:pt idx="325">
                  <c:v>59.2320850438795</c:v>
                </c:pt>
                <c:pt idx="326">
                  <c:v>49.4851841994162</c:v>
                </c:pt>
                <c:pt idx="327">
                  <c:v>33.8273765639591</c:v>
                </c:pt>
                <c:pt idx="328">
                  <c:v>7.61273912411542</c:v>
                </c:pt>
                <c:pt idx="330">
                  <c:v>307.110952775854</c:v>
                </c:pt>
                <c:pt idx="331">
                  <c:v>291.28944875423</c:v>
                </c:pt>
                <c:pt idx="332">
                  <c:v>281.467363057832</c:v>
                </c:pt>
                <c:pt idx="333">
                  <c:v>274.621834579955</c:v>
                </c:pt>
                <c:pt idx="334">
                  <c:v>269.266688654779</c:v>
                </c:pt>
                <c:pt idx="335">
                  <c:v>264.609086962795</c:v>
                </c:pt>
                <c:pt idx="336">
                  <c:v>260.136563833739</c:v>
                </c:pt>
                <c:pt idx="337">
                  <c:v>255.413806024339</c:v>
                </c:pt>
                <c:pt idx="338">
                  <c:v>249.93945382711</c:v>
                </c:pt>
                <c:pt idx="339">
                  <c:v>242.973001081269</c:v>
                </c:pt>
                <c:pt idx="340">
                  <c:v>233.242381578141</c:v>
                </c:pt>
                <c:pt idx="341">
                  <c:v>218.514968532574</c:v>
                </c:pt>
                <c:pt idx="342">
                  <c:v>196.034745882476</c:v>
                </c:pt>
                <c:pt idx="343">
                  <c:v>167.711991285532</c:v>
                </c:pt>
                <c:pt idx="344">
                  <c:v>143.1826547272</c:v>
                </c:pt>
                <c:pt idx="345">
                  <c:v>126.737992101601</c:v>
                </c:pt>
                <c:pt idx="346">
                  <c:v>116.059558026863</c:v>
                </c:pt>
                <c:pt idx="347">
                  <c:v>108.644093891181</c:v>
                </c:pt>
                <c:pt idx="348">
                  <c:v>103.023902769132</c:v>
                </c:pt>
                <c:pt idx="349">
                  <c:v>98.3716939535616</c:v>
                </c:pt>
                <c:pt idx="350">
                  <c:v>94.16874525696</c:v>
                </c:pt>
                <c:pt idx="351">
                  <c:v>90.0192629885575</c:v>
                </c:pt>
                <c:pt idx="352">
                  <c:v>85.5268606077666</c:v>
                </c:pt>
                <c:pt idx="353">
                  <c:v>80.161505794494</c:v>
                </c:pt>
                <c:pt idx="354">
                  <c:v>73.023983557739</c:v>
                </c:pt>
                <c:pt idx="355">
                  <c:v>62.311179128793</c:v>
                </c:pt>
                <c:pt idx="356">
                  <c:v>44.2123720065536</c:v>
                </c:pt>
                <c:pt idx="357">
                  <c:v>13.7477613559219</c:v>
                </c:pt>
                <c:pt idx="359">
                  <c:v>315.422080343662</c:v>
                </c:pt>
                <c:pt idx="360">
                  <c:v>301.884399929406</c:v>
                </c:pt>
                <c:pt idx="361">
                  <c:v>293.304588055162</c:v>
                </c:pt>
                <c:pt idx="362">
                  <c:v>287.117751049709</c:v>
                </c:pt>
                <c:pt idx="363">
                  <c:v>282.097517485148</c:v>
                </c:pt>
                <c:pt idx="364">
                  <c:v>277.571468285795</c:v>
                </c:pt>
                <c:pt idx="365">
                  <c:v>273.079081126153</c:v>
                </c:pt>
              </c:numCache>
            </c:numRef>
          </c:yVal>
          <c:smooth val="0"/>
        </c:ser>
        <c:axId val="99689746"/>
        <c:axId val="50245965"/>
      </c:scatterChart>
      <c:valAx>
        <c:axId val="99689746"/>
        <c:scaling>
          <c:orientation val="minMax"/>
          <c:max val="366"/>
          <c:min val="1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911466535433071"/>
              <c:y val="0.83725653097018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0245965"/>
        <c:crosses val="autoZero"/>
        <c:crossBetween val="midCat"/>
        <c:majorUnit val="30"/>
      </c:valAx>
      <c:valAx>
        <c:axId val="50245965"/>
        <c:scaling>
          <c:orientation val="minMax"/>
          <c:max val="360"/>
          <c:min val="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az</a:t>
                </a:r>
              </a:p>
            </c:rich>
          </c:tx>
          <c:layout>
            <c:manualLayout>
              <c:xMode val="edge"/>
              <c:yMode val="edge"/>
              <c:x val="0.0969488188976378"/>
              <c:y val="-0.0135696482968707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9689746"/>
        <c:crosses val="autoZero"/>
        <c:crossBetween val="midCat"/>
        <c:majorUnit val="30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200" spc="-1" strike="noStrike">
                <a:solidFill>
                  <a:srgbClr val="000000"/>
                </a:solidFill>
                <a:latin typeface="Calibri"/>
              </a:rPr>
              <a:t>illuminated fraction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26374295721029"/>
          <c:y val="0.100225131326607"/>
          <c:w val="0.920866961067966"/>
          <c:h val="0.815392312182106"/>
        </c:manualLayout>
      </c:layout>
      <c:scatterChart>
        <c:scatterStyle val="line"/>
        <c:varyColors val="0"/>
        <c:ser>
          <c:idx val="0"/>
          <c:order val="0"/>
          <c:spPr>
            <a:noFill/>
            <a:ln cap="rnd" w="288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illum!$E$2:$E$367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illum!$F$2:$F$367</c:f>
              <c:numCache>
                <c:formatCode>General</c:formatCode>
                <c:ptCount val="366"/>
                <c:pt idx="0">
                  <c:v>4.73387890774311</c:v>
                </c:pt>
                <c:pt idx="1">
                  <c:v>0.961176220471738</c:v>
                </c:pt>
                <c:pt idx="2">
                  <c:v>0.179150615435353</c:v>
                </c:pt>
                <c:pt idx="3">
                  <c:v>2.38615342045263</c:v>
                </c:pt>
                <c:pt idx="4">
                  <c:v>7.28037757181169</c:v>
                </c:pt>
                <c:pt idx="5">
                  <c:v>14.3458873864905</c:v>
                </c:pt>
                <c:pt idx="6">
                  <c:v>22.9691557264081</c:v>
                </c:pt>
                <c:pt idx="7">
                  <c:v>32.543671135866</c:v>
                </c:pt>
                <c:pt idx="8">
                  <c:v>42.5368601584167</c:v>
                </c:pt>
                <c:pt idx="9">
                  <c:v>52.514664411741</c:v>
                </c:pt>
                <c:pt idx="10">
                  <c:v>62.1340714331858</c:v>
                </c:pt>
                <c:pt idx="11">
                  <c:v>71.1195034354641</c:v>
                </c:pt>
                <c:pt idx="12">
                  <c:v>79.2370636566988</c:v>
                </c:pt>
                <c:pt idx="13">
                  <c:v>86.2751437605051</c:v>
                </c:pt>
                <c:pt idx="14">
                  <c:v>92.0344384613499</c:v>
                </c:pt>
                <c:pt idx="15">
                  <c:v>96.3269816863784</c:v>
                </c:pt>
                <c:pt idx="16">
                  <c:v>98.982513657075</c:v>
                </c:pt>
                <c:pt idx="17">
                  <c:v>99.8602041495459</c:v>
                </c:pt>
                <c:pt idx="18">
                  <c:v>98.8633403333425</c:v>
                </c:pt>
                <c:pt idx="19">
                  <c:v>95.9538218710024</c:v>
                </c:pt>
                <c:pt idx="20">
                  <c:v>91.1630586342729</c:v>
                </c:pt>
                <c:pt idx="21">
                  <c:v>84.5972336496449</c:v>
                </c:pt>
                <c:pt idx="22">
                  <c:v>76.437960092551</c:v>
                </c:pt>
                <c:pt idx="23">
                  <c:v>66.9425696143746</c:v>
                </c:pt>
                <c:pt idx="24">
                  <c:v>56.4490088116906</c:v>
                </c:pt>
                <c:pt idx="25">
                  <c:v>45.3865267394843</c:v>
                </c:pt>
                <c:pt idx="26">
                  <c:v>34.2853601438807</c:v>
                </c:pt>
                <c:pt idx="27">
                  <c:v>23.7704234569703</c:v>
                </c:pt>
                <c:pt idx="28">
                  <c:v>14.5223839702457</c:v>
                </c:pt>
                <c:pt idx="29">
                  <c:v>7.19998656314235</c:v>
                </c:pt>
                <c:pt idx="30">
                  <c:v>2.33801297995391</c:v>
                </c:pt>
                <c:pt idx="31">
                  <c:v>0.25371628032323</c:v>
                </c:pt>
                <c:pt idx="32">
                  <c:v>0.996731048092781</c:v>
                </c:pt>
                <c:pt idx="33">
                  <c:v>4.36010289525645</c:v>
                </c:pt>
                <c:pt idx="34">
                  <c:v>9.94445212982122</c:v>
                </c:pt>
                <c:pt idx="35">
                  <c:v>17.2485849890545</c:v>
                </c:pt>
                <c:pt idx="36">
                  <c:v>25.7558057712353</c:v>
                </c:pt>
                <c:pt idx="37">
                  <c:v>34.9939803175078</c:v>
                </c:pt>
                <c:pt idx="38">
                  <c:v>44.5619931028663</c:v>
                </c:pt>
                <c:pt idx="39">
                  <c:v>54.1280330678949</c:v>
                </c:pt>
                <c:pt idx="40">
                  <c:v>63.4115655462003</c:v>
                </c:pt>
                <c:pt idx="41">
                  <c:v>72.1607175596506</c:v>
                </c:pt>
                <c:pt idx="42">
                  <c:v>80.1330046319278</c:v>
                </c:pt>
                <c:pt idx="43">
                  <c:v>87.0832302489357</c:v>
                </c:pt>
                <c:pt idx="44">
                  <c:v>92.7599393511022</c:v>
                </c:pt>
                <c:pt idx="45">
                  <c:v>96.9110162052891</c:v>
                </c:pt>
                <c:pt idx="46">
                  <c:v>99.2986226663623</c:v>
                </c:pt>
                <c:pt idx="47">
                  <c:v>99.7223829316467</c:v>
                </c:pt>
                <c:pt idx="48">
                  <c:v>98.0473157857863</c:v>
                </c:pt>
                <c:pt idx="49">
                  <c:v>94.2306450250224</c:v>
                </c:pt>
                <c:pt idx="50">
                  <c:v>88.3410647063783</c:v>
                </c:pt>
                <c:pt idx="51">
                  <c:v>80.5663540748102</c:v>
                </c:pt>
                <c:pt idx="52">
                  <c:v>71.209634665608</c:v>
                </c:pt>
                <c:pt idx="53">
                  <c:v>60.6783850343435</c:v>
                </c:pt>
                <c:pt idx="54">
                  <c:v>49.4706026150257</c:v>
                </c:pt>
                <c:pt idx="55">
                  <c:v>38.1584000180105</c:v>
                </c:pt>
                <c:pt idx="56">
                  <c:v>27.3636618671968</c:v>
                </c:pt>
                <c:pt idx="57">
                  <c:v>17.7182978097113</c:v>
                </c:pt>
                <c:pt idx="58">
                  <c:v>9.80663213645306</c:v>
                </c:pt>
                <c:pt idx="59">
                  <c:v>4.09793669331439</c:v>
                </c:pt>
                <c:pt idx="60">
                  <c:v>0.886596456273908</c:v>
                </c:pt>
                <c:pt idx="61">
                  <c:v>0.25924690668625</c:v>
                </c:pt>
                <c:pt idx="62">
                  <c:v>2.10043267931476</c:v>
                </c:pt>
                <c:pt idx="63">
                  <c:v>6.13460033528185</c:v>
                </c:pt>
                <c:pt idx="64">
                  <c:v>11.9894212066483</c:v>
                </c:pt>
                <c:pt idx="65">
                  <c:v>19.2597881204537</c:v>
                </c:pt>
                <c:pt idx="66">
                  <c:v>27.5554591564278</c:v>
                </c:pt>
                <c:pt idx="67">
                  <c:v>36.5249995389106</c:v>
                </c:pt>
                <c:pt idx="68">
                  <c:v>45.8583957542904</c:v>
                </c:pt>
                <c:pt idx="69">
                  <c:v>55.2760335675834</c:v>
                </c:pt>
                <c:pt idx="70">
                  <c:v>64.5120235162552</c:v>
                </c:pt>
                <c:pt idx="71">
                  <c:v>73.2974219949051</c:v>
                </c:pt>
                <c:pt idx="72">
                  <c:v>81.3466002626551</c:v>
                </c:pt>
                <c:pt idx="73">
                  <c:v>88.349444579379</c:v>
                </c:pt>
                <c:pt idx="74">
                  <c:v>93.9729273920998</c:v>
                </c:pt>
                <c:pt idx="75">
                  <c:v>97.8761844766939</c:v>
                </c:pt>
                <c:pt idx="76">
                  <c:v>99.7416388085732</c:v>
                </c:pt>
                <c:pt idx="77">
                  <c:v>99.3200355552018</c:v>
                </c:pt>
                <c:pt idx="78">
                  <c:v>96.480594455324</c:v>
                </c:pt>
                <c:pt idx="79">
                  <c:v>91.2521145936574</c:v>
                </c:pt>
                <c:pt idx="80">
                  <c:v>83.8409058959239</c:v>
                </c:pt>
                <c:pt idx="81">
                  <c:v>74.6187971099202</c:v>
                </c:pt>
                <c:pt idx="82">
                  <c:v>64.0860499828299</c:v>
                </c:pt>
                <c:pt idx="83">
                  <c:v>52.8226416282574</c:v>
                </c:pt>
                <c:pt idx="84">
                  <c:v>41.4414952639831</c:v>
                </c:pt>
                <c:pt idx="85">
                  <c:v>30.5498341506015</c:v>
                </c:pt>
                <c:pt idx="86">
                  <c:v>20.7163994338511</c:v>
                </c:pt>
                <c:pt idx="87">
                  <c:v>12.4390862471153</c:v>
                </c:pt>
                <c:pt idx="88">
                  <c:v>6.11110731189797</c:v>
                </c:pt>
                <c:pt idx="89">
                  <c:v>1.99061632171571</c:v>
                </c:pt>
                <c:pt idx="90">
                  <c:v>0.183344874707009</c:v>
                </c:pt>
                <c:pt idx="91">
                  <c:v>0.646369396881147</c:v>
                </c:pt>
                <c:pt idx="92">
                  <c:v>3.21388193533326</c:v>
                </c:pt>
                <c:pt idx="93">
                  <c:v>7.6371495454452</c:v>
                </c:pt>
                <c:pt idx="94">
                  <c:v>13.6261159330702</c:v>
                </c:pt>
                <c:pt idx="95">
                  <c:v>20.8817246314723</c:v>
                </c:pt>
                <c:pt idx="96">
                  <c:v>29.1139670722024</c:v>
                </c:pt>
                <c:pt idx="97">
                  <c:v>38.0466222700371</c:v>
                </c:pt>
                <c:pt idx="98">
                  <c:v>47.4126092053953</c:v>
                </c:pt>
                <c:pt idx="99">
                  <c:v>56.9436214434404</c:v>
                </c:pt>
                <c:pt idx="100">
                  <c:v>66.3562168700346</c:v>
                </c:pt>
                <c:pt idx="101">
                  <c:v>75.3361280409217</c:v>
                </c:pt>
                <c:pt idx="102">
                  <c:v>83.5244044332795</c:v>
                </c:pt>
                <c:pt idx="103">
                  <c:v>90.5124027620064</c:v>
                </c:pt>
                <c:pt idx="104">
                  <c:v>95.8552132772849</c:v>
                </c:pt>
                <c:pt idx="105">
                  <c:v>99.1115943908007</c:v>
                </c:pt>
                <c:pt idx="106">
                  <c:v>99.9104251592793</c:v>
                </c:pt>
                <c:pt idx="107">
                  <c:v>98.0300568342521</c:v>
                </c:pt>
                <c:pt idx="108">
                  <c:v>93.4643793471288</c:v>
                </c:pt>
                <c:pt idx="109">
                  <c:v>86.4480574474979</c:v>
                </c:pt>
                <c:pt idx="110">
                  <c:v>77.4284560456175</c:v>
                </c:pt>
                <c:pt idx="111">
                  <c:v>66.9957619027258</c:v>
                </c:pt>
                <c:pt idx="112">
                  <c:v>55.799506379687</c:v>
                </c:pt>
                <c:pt idx="113">
                  <c:v>44.4786184463153</c:v>
                </c:pt>
                <c:pt idx="114">
                  <c:v>33.6173446687807</c:v>
                </c:pt>
                <c:pt idx="115">
                  <c:v>23.7234819693595</c:v>
                </c:pt>
                <c:pt idx="116">
                  <c:v>15.2178787522335</c:v>
                </c:pt>
                <c:pt idx="117">
                  <c:v>8.4262225877886</c:v>
                </c:pt>
                <c:pt idx="118">
                  <c:v>3.57101117298979</c:v>
                </c:pt>
                <c:pt idx="119">
                  <c:v>0.767408509814499</c:v>
                </c:pt>
                <c:pt idx="120">
                  <c:v>0.0278287218067053</c:v>
                </c:pt>
                <c:pt idx="121">
                  <c:v>1.27670403689056</c:v>
                </c:pt>
                <c:pt idx="122">
                  <c:v>4.3720966116356</c:v>
                </c:pt>
                <c:pt idx="123">
                  <c:v>9.12814181699419</c:v>
                </c:pt>
                <c:pt idx="124">
                  <c:v>15.3331428349275</c:v>
                </c:pt>
                <c:pt idx="125">
                  <c:v>22.7611017476067</c:v>
                </c:pt>
                <c:pt idx="126">
                  <c:v>31.1770242229386</c:v>
                </c:pt>
                <c:pt idx="127">
                  <c:v>40.33687039968</c:v>
                </c:pt>
                <c:pt idx="128">
                  <c:v>49.9819101357276</c:v>
                </c:pt>
                <c:pt idx="129">
                  <c:v>59.8263397262635</c:v>
                </c:pt>
                <c:pt idx="130">
                  <c:v>69.5383547753959</c:v>
                </c:pt>
                <c:pt idx="131">
                  <c:v>78.719309330853</c:v>
                </c:pt>
                <c:pt idx="132">
                  <c:v>86.8919622948807</c:v>
                </c:pt>
                <c:pt idx="133">
                  <c:v>93.5135944928862</c:v>
                </c:pt>
                <c:pt idx="134">
                  <c:v>98.0276507829221</c:v>
                </c:pt>
                <c:pt idx="135">
                  <c:v>99.9542177441431</c:v>
                </c:pt>
                <c:pt idx="136">
                  <c:v>98.9974144042551</c:v>
                </c:pt>
                <c:pt idx="137">
                  <c:v>95.129474441212</c:v>
                </c:pt>
                <c:pt idx="138">
                  <c:v>88.6136590390489</c:v>
                </c:pt>
                <c:pt idx="139">
                  <c:v>79.9550771311392</c:v>
                </c:pt>
                <c:pt idx="140">
                  <c:v>69.8026529826636</c:v>
                </c:pt>
                <c:pt idx="141">
                  <c:v>58.8429180334293</c:v>
                </c:pt>
                <c:pt idx="142">
                  <c:v>47.7188863352265</c:v>
                </c:pt>
                <c:pt idx="143">
                  <c:v>36.9863555566176</c:v>
                </c:pt>
                <c:pt idx="144">
                  <c:v>27.1015524555083</c:v>
                </c:pt>
                <c:pt idx="145">
                  <c:v>18.4260585615057</c:v>
                </c:pt>
                <c:pt idx="146">
                  <c:v>11.2364438802074</c:v>
                </c:pt>
                <c:pt idx="147">
                  <c:v>5.73209159144323</c:v>
                </c:pt>
                <c:pt idx="148">
                  <c:v>2.04052371496866</c:v>
                </c:pt>
                <c:pt idx="149">
                  <c:v>0.22237897941681</c:v>
                </c:pt>
                <c:pt idx="150">
                  <c:v>0.277848209549758</c:v>
                </c:pt>
                <c:pt idx="151">
                  <c:v>2.15455267160661</c:v>
                </c:pt>
                <c:pt idx="152">
                  <c:v>5.75560602904985</c:v>
                </c:pt>
                <c:pt idx="153">
                  <c:v>10.9467774410511</c:v>
                </c:pt>
                <c:pt idx="154">
                  <c:v>17.5625281569728</c:v>
                </c:pt>
                <c:pt idx="155">
                  <c:v>25.4108303696067</c:v>
                </c:pt>
                <c:pt idx="156">
                  <c:v>34.2754333898959</c:v>
                </c:pt>
                <c:pt idx="157">
                  <c:v>43.9124416672016</c:v>
                </c:pt>
                <c:pt idx="158">
                  <c:v>54.0376652992791</c:v>
                </c:pt>
                <c:pt idx="159">
                  <c:v>64.3041348808182</c:v>
                </c:pt>
                <c:pt idx="160">
                  <c:v>74.2760368110512</c:v>
                </c:pt>
                <c:pt idx="161">
                  <c:v>83.4142042128332</c:v>
                </c:pt>
                <c:pt idx="162">
                  <c:v>91.0940059016406</c:v>
                </c:pt>
                <c:pt idx="163">
                  <c:v>96.6716089601748</c:v>
                </c:pt>
                <c:pt idx="164">
                  <c:v>99.5947345520012</c:v>
                </c:pt>
                <c:pt idx="165">
                  <c:v>99.5258891161611</c:v>
                </c:pt>
                <c:pt idx="166">
                  <c:v>96.4289174539927</c:v>
                </c:pt>
                <c:pt idx="167">
                  <c:v>90.5809008148619</c:v>
                </c:pt>
                <c:pt idx="168">
                  <c:v>82.5066068477841</c:v>
                </c:pt>
                <c:pt idx="169">
                  <c:v>72.8670616687292</c:v>
                </c:pt>
                <c:pt idx="170">
                  <c:v>62.3459009680008</c:v>
                </c:pt>
                <c:pt idx="171">
                  <c:v>51.5660667833362</c:v>
                </c:pt>
                <c:pt idx="172">
                  <c:v>41.0484949434848</c:v>
                </c:pt>
                <c:pt idx="173">
                  <c:v>31.206611077325</c:v>
                </c:pt>
                <c:pt idx="174">
                  <c:v>22.3616213652234</c:v>
                </c:pt>
                <c:pt idx="175">
                  <c:v>14.7635670583118</c:v>
                </c:pt>
                <c:pt idx="176">
                  <c:v>8.60841314222786</c:v>
                </c:pt>
                <c:pt idx="177">
                  <c:v>4.04779836528184</c:v>
                </c:pt>
                <c:pt idx="178">
                  <c:v>1.1924562492921</c:v>
                </c:pt>
                <c:pt idx="179">
                  <c:v>0.111867250166148</c:v>
                </c:pt>
                <c:pt idx="180">
                  <c:v>0.832369731742899</c:v>
                </c:pt>
                <c:pt idx="181">
                  <c:v>3.33523261591794</c:v>
                </c:pt>
                <c:pt idx="182">
                  <c:v>7.55584399168822</c:v>
                </c:pt>
                <c:pt idx="183">
                  <c:v>13.3848386881387</c:v>
                </c:pt>
                <c:pt idx="184">
                  <c:v>20.6708424816056</c:v>
                </c:pt>
                <c:pt idx="185">
                  <c:v>29.222358616452</c:v>
                </c:pt>
                <c:pt idx="186">
                  <c:v>38.8042691351276</c:v>
                </c:pt>
                <c:pt idx="187">
                  <c:v>49.1245524639977</c:v>
                </c:pt>
                <c:pt idx="188">
                  <c:v>59.8110170987265</c:v>
                </c:pt>
                <c:pt idx="189">
                  <c:v>70.3862529885187</c:v>
                </c:pt>
                <c:pt idx="190">
                  <c:v>80.2585243481663</c:v>
                </c:pt>
                <c:pt idx="191">
                  <c:v>88.7502618142216</c:v>
                </c:pt>
                <c:pt idx="192">
                  <c:v>95.1766137638011</c:v>
                </c:pt>
                <c:pt idx="193">
                  <c:v>98.9630169653937</c:v>
                </c:pt>
                <c:pt idx="194">
                  <c:v>99.7646131405968</c:v>
                </c:pt>
                <c:pt idx="195">
                  <c:v>97.5409904199694</c:v>
                </c:pt>
                <c:pt idx="196">
                  <c:v>92.5569030286636</c:v>
                </c:pt>
                <c:pt idx="197">
                  <c:v>85.3124272220597</c:v>
                </c:pt>
                <c:pt idx="198">
                  <c:v>76.4333491837756</c:v>
                </c:pt>
                <c:pt idx="199">
                  <c:v>66.5613990678011</c:v>
                </c:pt>
                <c:pt idx="200">
                  <c:v>56.2748721082902</c:v>
                </c:pt>
                <c:pt idx="201">
                  <c:v>46.0517508964599</c:v>
                </c:pt>
                <c:pt idx="202">
                  <c:v>36.2696804459488</c:v>
                </c:pt>
                <c:pt idx="203">
                  <c:v>27.2271344028302</c:v>
                </c:pt>
                <c:pt idx="204">
                  <c:v>19.1694293808945</c:v>
                </c:pt>
                <c:pt idx="205">
                  <c:v>12.3087066815786</c:v>
                </c:pt>
                <c:pt idx="206">
                  <c:v>6.83388474548358</c:v>
                </c:pt>
                <c:pt idx="207">
                  <c:v>2.91153077867623</c:v>
                </c:pt>
                <c:pt idx="208">
                  <c:v>0.680631597617976</c:v>
                </c:pt>
                <c:pt idx="209">
                  <c:v>0.244226749572263</c:v>
                </c:pt>
                <c:pt idx="210">
                  <c:v>1.6602342990491</c:v>
                </c:pt>
                <c:pt idx="211">
                  <c:v>4.93337377247645</c:v>
                </c:pt>
                <c:pt idx="212">
                  <c:v>10.0096575756759</c:v>
                </c:pt>
                <c:pt idx="213">
                  <c:v>16.773756659229</c:v>
                </c:pt>
                <c:pt idx="214">
                  <c:v>25.0474478507505</c:v>
                </c:pt>
                <c:pt idx="215">
                  <c:v>34.5853733513171</c:v>
                </c:pt>
                <c:pt idx="216">
                  <c:v>45.0645542286417</c:v>
                </c:pt>
                <c:pt idx="217">
                  <c:v>56.0682571867316</c:v>
                </c:pt>
                <c:pt idx="218">
                  <c:v>67.0725127871121</c:v>
                </c:pt>
                <c:pt idx="219">
                  <c:v>77.4509772646966</c:v>
                </c:pt>
                <c:pt idx="220">
                  <c:v>86.5144901740807</c:v>
                </c:pt>
                <c:pt idx="221">
                  <c:v>93.5907892398434</c:v>
                </c:pt>
                <c:pt idx="222">
                  <c:v>98.129972952074</c:v>
                </c:pt>
                <c:pt idx="223">
                  <c:v>99.8036655486224</c:v>
                </c:pt>
                <c:pt idx="224">
                  <c:v>98.5626918367327</c:v>
                </c:pt>
                <c:pt idx="225">
                  <c:v>94.632483065166</c:v>
                </c:pt>
                <c:pt idx="226">
                  <c:v>88.4495103739947</c:v>
                </c:pt>
                <c:pt idx="227">
                  <c:v>80.5636158230971</c:v>
                </c:pt>
                <c:pt idx="228">
                  <c:v>71.5404462597954</c:v>
                </c:pt>
                <c:pt idx="229">
                  <c:v>61.8919843842011</c:v>
                </c:pt>
                <c:pt idx="230">
                  <c:v>52.0464285567269</c:v>
                </c:pt>
                <c:pt idx="231">
                  <c:v>42.3515937008057</c:v>
                </c:pt>
                <c:pt idx="232">
                  <c:v>33.0966911786798</c:v>
                </c:pt>
                <c:pt idx="233">
                  <c:v>24.537281636309</c:v>
                </c:pt>
                <c:pt idx="234">
                  <c:v>16.913717870742</c:v>
                </c:pt>
                <c:pt idx="235">
                  <c:v>10.45975856511</c:v>
                </c:pt>
                <c:pt idx="236">
                  <c:v>5.40220226025605</c:v>
                </c:pt>
                <c:pt idx="237">
                  <c:v>1.95372051335009</c:v>
                </c:pt>
                <c:pt idx="238">
                  <c:v>0.300663885014524</c:v>
                </c:pt>
                <c:pt idx="239">
                  <c:v>0.587116369923985</c:v>
                </c:pt>
                <c:pt idx="240">
                  <c:v>2.8968769982565</c:v>
                </c:pt>
                <c:pt idx="241">
                  <c:v>7.23609176614185</c:v>
                </c:pt>
                <c:pt idx="242">
                  <c:v>13.5197401200073</c:v>
                </c:pt>
                <c:pt idx="243">
                  <c:v>21.5640420482129</c:v>
                </c:pt>
                <c:pt idx="244">
                  <c:v>31.08439328685</c:v>
                </c:pt>
                <c:pt idx="245">
                  <c:v>41.6965953103059</c:v>
                </c:pt>
                <c:pt idx="246">
                  <c:v>52.9201917546964</c:v>
                </c:pt>
                <c:pt idx="247">
                  <c:v>64.1870022337635</c:v>
                </c:pt>
                <c:pt idx="248">
                  <c:v>74.8626420518852</c:v>
                </c:pt>
                <c:pt idx="249">
                  <c:v>84.2893473317983</c:v>
                </c:pt>
                <c:pt idx="250">
                  <c:v>91.8519686845663</c:v>
                </c:pt>
                <c:pt idx="251">
                  <c:v>97.0573776916718</c:v>
                </c:pt>
                <c:pt idx="252">
                  <c:v>99.6067371014878</c:v>
                </c:pt>
                <c:pt idx="253">
                  <c:v>99.436784161723</c:v>
                </c:pt>
                <c:pt idx="254">
                  <c:v>96.7140899903926</c:v>
                </c:pt>
                <c:pt idx="255">
                  <c:v>91.7832446899996</c:v>
                </c:pt>
                <c:pt idx="256">
                  <c:v>85.0879731773265</c:v>
                </c:pt>
                <c:pt idx="257">
                  <c:v>77.0929944369643</c:v>
                </c:pt>
                <c:pt idx="258">
                  <c:v>68.2292835650648</c:v>
                </c:pt>
                <c:pt idx="259">
                  <c:v>58.8711038826479</c:v>
                </c:pt>
                <c:pt idx="260">
                  <c:v>49.3393425054972</c:v>
                </c:pt>
                <c:pt idx="261">
                  <c:v>39.918889695609</c:v>
                </c:pt>
                <c:pt idx="262">
                  <c:v>30.8784988606341</c:v>
                </c:pt>
                <c:pt idx="263">
                  <c:v>22.4862297868028</c:v>
                </c:pt>
                <c:pt idx="264">
                  <c:v>15.0182027381666</c:v>
                </c:pt>
                <c:pt idx="265">
                  <c:v>8.76061135702891</c:v>
                </c:pt>
                <c:pt idx="266">
                  <c:v>4.00460689313101</c:v>
                </c:pt>
                <c:pt idx="267">
                  <c:v>1.0323701664169</c:v>
                </c:pt>
                <c:pt idx="268">
                  <c:v>0.0926630585639909</c:v>
                </c:pt>
                <c:pt idx="269">
                  <c:v>1.36686018228426</c:v>
                </c:pt>
                <c:pt idx="270">
                  <c:v>4.93137162619719</c:v>
                </c:pt>
                <c:pt idx="271">
                  <c:v>10.7266647010953</c:v>
                </c:pt>
                <c:pt idx="272">
                  <c:v>18.5431527450829</c:v>
                </c:pt>
                <c:pt idx="273">
                  <c:v>28.028612505352</c:v>
                </c:pt>
                <c:pt idx="274">
                  <c:v>38.7134252289649</c:v>
                </c:pt>
                <c:pt idx="275">
                  <c:v>50.0444707902817</c:v>
                </c:pt>
                <c:pt idx="276">
                  <c:v>61.419648574991</c:v>
                </c:pt>
                <c:pt idx="277">
                  <c:v>72.2212020891667</c:v>
                </c:pt>
                <c:pt idx="278">
                  <c:v>81.8518443269789</c:v>
                </c:pt>
                <c:pt idx="279">
                  <c:v>89.77815275119</c:v>
                </c:pt>
                <c:pt idx="280">
                  <c:v>95.5797941594095</c:v>
                </c:pt>
                <c:pt idx="281">
                  <c:v>98.9944341878014</c:v>
                </c:pt>
                <c:pt idx="282">
                  <c:v>99.9430302622528</c:v>
                </c:pt>
                <c:pt idx="283">
                  <c:v>98.5237689315789</c:v>
                </c:pt>
                <c:pt idx="284">
                  <c:v>94.9747217715678</c:v>
                </c:pt>
                <c:pt idx="285">
                  <c:v>89.6183586870228</c:v>
                </c:pt>
                <c:pt idx="286">
                  <c:v>82.8069953516032</c:v>
                </c:pt>
                <c:pt idx="287">
                  <c:v>74.884197053259</c:v>
                </c:pt>
                <c:pt idx="288">
                  <c:v>66.1673317086799</c:v>
                </c:pt>
                <c:pt idx="289">
                  <c:v>56.9475937258477</c:v>
                </c:pt>
                <c:pt idx="290">
                  <c:v>47.4999723638655</c:v>
                </c:pt>
                <c:pt idx="291">
                  <c:v>38.0966574217861</c:v>
                </c:pt>
                <c:pt idx="292">
                  <c:v>29.0204771302738</c:v>
                </c:pt>
                <c:pt idx="293">
                  <c:v>20.5770748154126</c:v>
                </c:pt>
                <c:pt idx="294">
                  <c:v>13.103959034828</c:v>
                </c:pt>
                <c:pt idx="295">
                  <c:v>6.97172529562635</c:v>
                </c:pt>
                <c:pt idx="296">
                  <c:v>2.57005862321829</c:v>
                </c:pt>
                <c:pt idx="297">
                  <c:v>0.272017686489134</c:v>
                </c:pt>
                <c:pt idx="298">
                  <c:v>0.377029471709323</c:v>
                </c:pt>
                <c:pt idx="299">
                  <c:v>3.04472326252918</c:v>
                </c:pt>
                <c:pt idx="300">
                  <c:v>8.24173543711612</c:v>
                </c:pt>
                <c:pt idx="301">
                  <c:v>15.7233674753966</c:v>
                </c:pt>
                <c:pt idx="302">
                  <c:v>25.0585069447886</c:v>
                </c:pt>
                <c:pt idx="303">
                  <c:v>35.6871195094955</c:v>
                </c:pt>
                <c:pt idx="304">
                  <c:v>46.9878146242127</c:v>
                </c:pt>
                <c:pt idx="305">
                  <c:v>58.3353381400944</c:v>
                </c:pt>
                <c:pt idx="306">
                  <c:v>69.1400224182224</c:v>
                </c:pt>
                <c:pt idx="307">
                  <c:v>78.8732551817206</c:v>
                </c:pt>
                <c:pt idx="308">
                  <c:v>87.0877325352828</c:v>
                </c:pt>
                <c:pt idx="309">
                  <c:v>93.4378653017593</c:v>
                </c:pt>
                <c:pt idx="310">
                  <c:v>97.6984391363856</c:v>
                </c:pt>
                <c:pt idx="311">
                  <c:v>99.7743448305273</c:v>
                </c:pt>
                <c:pt idx="312">
                  <c:v>99.694799243448</c:v>
                </c:pt>
                <c:pt idx="313">
                  <c:v>97.5914612567023</c:v>
                </c:pt>
                <c:pt idx="314">
                  <c:v>93.6668110227173</c:v>
                </c:pt>
                <c:pt idx="315">
                  <c:v>88.1623938327753</c:v>
                </c:pt>
                <c:pt idx="316">
                  <c:v>81.3346037592639</c:v>
                </c:pt>
                <c:pt idx="317">
                  <c:v>73.4409022582756</c:v>
                </c:pt>
                <c:pt idx="318">
                  <c:v>64.7352899423768</c:v>
                </c:pt>
                <c:pt idx="319">
                  <c:v>55.4705645345525</c:v>
                </c:pt>
                <c:pt idx="320">
                  <c:v>45.9060333214829</c:v>
                </c:pt>
                <c:pt idx="321">
                  <c:v>36.3208044231479</c:v>
                </c:pt>
                <c:pt idx="322">
                  <c:v>27.0322220016051</c:v>
                </c:pt>
                <c:pt idx="323">
                  <c:v>18.4152910508277</c:v>
                </c:pt>
                <c:pt idx="324">
                  <c:v>10.913085390083</c:v>
                </c:pt>
                <c:pt idx="325">
                  <c:v>5.02371668319109</c:v>
                </c:pt>
                <c:pt idx="326">
                  <c:v>1.25174262464146</c:v>
                </c:pt>
                <c:pt idx="327">
                  <c:v>0.0246872626110284</c:v>
                </c:pt>
                <c:pt idx="328">
                  <c:v>1.59558389475065</c:v>
                </c:pt>
                <c:pt idx="329">
                  <c:v>5.9678253123045</c:v>
                </c:pt>
                <c:pt idx="330">
                  <c:v>12.8750341793601</c:v>
                </c:pt>
                <c:pt idx="331">
                  <c:v>21.8246276461391</c:v>
                </c:pt>
                <c:pt idx="332">
                  <c:v>32.1849695137044</c:v>
                </c:pt>
                <c:pt idx="333">
                  <c:v>43.2816034636522</c:v>
                </c:pt>
                <c:pt idx="334">
                  <c:v>54.4736968110265</c:v>
                </c:pt>
                <c:pt idx="335">
                  <c:v>65.1986243138846</c:v>
                </c:pt>
                <c:pt idx="336">
                  <c:v>74.9884318282859</c:v>
                </c:pt>
                <c:pt idx="337">
                  <c:v>83.4699113722139</c:v>
                </c:pt>
                <c:pt idx="338">
                  <c:v>90.3596801446528</c:v>
                </c:pt>
                <c:pt idx="339">
                  <c:v>95.4603095222445</c:v>
                </c:pt>
                <c:pt idx="340">
                  <c:v>98.6576838342849</c:v>
                </c:pt>
                <c:pt idx="341">
                  <c:v>99.9167421633826</c:v>
                </c:pt>
                <c:pt idx="342">
                  <c:v>99.2733207780321</c:v>
                </c:pt>
                <c:pt idx="343">
                  <c:v>96.8222672638514</c:v>
                </c:pt>
                <c:pt idx="344">
                  <c:v>92.7039254666888</c:v>
                </c:pt>
                <c:pt idx="345">
                  <c:v>87.0912955790611</c:v>
                </c:pt>
                <c:pt idx="346">
                  <c:v>80.1792709102742</c:v>
                </c:pt>
                <c:pt idx="347">
                  <c:v>72.1768098364776</c:v>
                </c:pt>
                <c:pt idx="348">
                  <c:v>63.3035718511368</c:v>
                </c:pt>
                <c:pt idx="349">
                  <c:v>53.7938534348846</c:v>
                </c:pt>
                <c:pt idx="350">
                  <c:v>43.9108531733332</c:v>
                </c:pt>
                <c:pt idx="351">
                  <c:v>33.971491638848</c:v>
                </c:pt>
                <c:pt idx="352">
                  <c:v>24.3754885805456</c:v>
                </c:pt>
                <c:pt idx="353">
                  <c:v>15.6238470479463</c:v>
                </c:pt>
                <c:pt idx="354">
                  <c:v>8.30622838168647</c:v>
                </c:pt>
                <c:pt idx="355">
                  <c:v>3.04101723894276</c:v>
                </c:pt>
                <c:pt idx="356">
                  <c:v>0.370400268079046</c:v>
                </c:pt>
                <c:pt idx="357">
                  <c:v>0.639376181173051</c:v>
                </c:pt>
                <c:pt idx="358">
                  <c:v>3.90479451335935</c:v>
                </c:pt>
                <c:pt idx="359">
                  <c:v>9.91259819612442</c:v>
                </c:pt>
                <c:pt idx="360">
                  <c:v>18.1512019481118</c:v>
                </c:pt>
                <c:pt idx="361">
                  <c:v>27.9565022858738</c:v>
                </c:pt>
                <c:pt idx="362">
                  <c:v>38.6281375271074</c:v>
                </c:pt>
                <c:pt idx="363">
                  <c:v>49.5214447448457</c:v>
                </c:pt>
                <c:pt idx="364">
                  <c:v>60.0973945380835</c:v>
                </c:pt>
                <c:pt idx="365">
                  <c:v>69.9324768550465</c:v>
                </c:pt>
              </c:numCache>
            </c:numRef>
          </c:yVal>
          <c:smooth val="0"/>
        </c:ser>
        <c:axId val="44431466"/>
        <c:axId val="54635227"/>
      </c:scatterChart>
      <c:valAx>
        <c:axId val="44431466"/>
        <c:scaling>
          <c:orientation val="minMax"/>
          <c:max val="366"/>
          <c:min val="1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93812496827572"/>
              <c:y val="0.837155007087468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4635227"/>
        <c:crosses val="autoZero"/>
        <c:crossBetween val="midCat"/>
        <c:majorUnit val="30"/>
      </c:valAx>
      <c:valAx>
        <c:axId val="54635227"/>
        <c:scaling>
          <c:orientation val="minMax"/>
          <c:max val="100"/>
          <c:min val="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0" sz="1200" spc="-1" strike="noStrike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0165981422262829"/>
              <c:y val="-0.0266822313015926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4431466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geocentric distance 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2570593962999"/>
          <c:y val="0.0981710402660305"/>
          <c:w val="0.896105160662123"/>
          <c:h val="0.832357406202559"/>
        </c:manualLayout>
      </c:layout>
      <c:scatterChart>
        <c:scatterStyle val="line"/>
        <c:varyColors val="0"/>
        <c:ser>
          <c:idx val="0"/>
          <c:order val="0"/>
          <c:spPr>
            <a:noFill/>
            <a:ln w="216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distance__declin__RA!$E$2:$E$367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distance__declin__RA!$F$2:$F$367</c:f>
              <c:numCache>
                <c:formatCode>General</c:formatCode>
                <c:ptCount val="366"/>
                <c:pt idx="0">
                  <c:v>358890.617322509</c:v>
                </c:pt>
                <c:pt idx="1">
                  <c:v>358034.323186647</c:v>
                </c:pt>
                <c:pt idx="2">
                  <c:v>359079.098953901</c:v>
                </c:pt>
                <c:pt idx="3">
                  <c:v>361965.133281612</c:v>
                </c:pt>
                <c:pt idx="4">
                  <c:v>366418.562042338</c:v>
                </c:pt>
                <c:pt idx="5">
                  <c:v>372003.09731646</c:v>
                </c:pt>
                <c:pt idx="6">
                  <c:v>378198.746404514</c:v>
                </c:pt>
                <c:pt idx="7">
                  <c:v>384483.215702744</c:v>
                </c:pt>
                <c:pt idx="8">
                  <c:v>390396.226734294</c:v>
                </c:pt>
                <c:pt idx="9">
                  <c:v>395578.138823575</c:v>
                </c:pt>
                <c:pt idx="10">
                  <c:v>399784.774086755</c:v>
                </c:pt>
                <c:pt idx="11">
                  <c:v>402885.378207332</c:v>
                </c:pt>
                <c:pt idx="12">
                  <c:v>404850.223099845</c:v>
                </c:pt>
                <c:pt idx="13">
                  <c:v>405731.720997716</c:v>
                </c:pt>
                <c:pt idx="14">
                  <c:v>405641.187860336</c:v>
                </c:pt>
                <c:pt idx="15">
                  <c:v>404723.385299427</c:v>
                </c:pt>
                <c:pt idx="16">
                  <c:v>403131.623443367</c:v>
                </c:pt>
                <c:pt idx="17">
                  <c:v>401006.369246658</c:v>
                </c:pt>
                <c:pt idx="18">
                  <c:v>398459.834597859</c:v>
                </c:pt>
                <c:pt idx="19">
                  <c:v>395568.414456369</c:v>
                </c:pt>
                <c:pt idx="20">
                  <c:v>392374.303167211</c:v>
                </c:pt>
                <c:pt idx="21">
                  <c:v>388896.770711802</c:v>
                </c:pt>
                <c:pt idx="22">
                  <c:v>385152.082404778</c:v>
                </c:pt>
                <c:pt idx="23">
                  <c:v>381179.098641182</c:v>
                </c:pt>
                <c:pt idx="24">
                  <c:v>377065.747861356</c:v>
                </c:pt>
                <c:pt idx="25">
                  <c:v>372970.174551499</c:v>
                </c:pt>
                <c:pt idx="26">
                  <c:v>369129.5511636</c:v>
                </c:pt>
                <c:pt idx="27">
                  <c:v>365849.847432053</c:v>
                </c:pt>
                <c:pt idx="28">
                  <c:v>363472.52544914</c:v>
                </c:pt>
                <c:pt idx="29">
                  <c:v>362320.163753402</c:v>
                </c:pt>
                <c:pt idx="30">
                  <c:v>362631.384391472</c:v>
                </c:pt>
                <c:pt idx="31">
                  <c:v>364502.452044508</c:v>
                </c:pt>
                <c:pt idx="32">
                  <c:v>367853.923071053</c:v>
                </c:pt>
                <c:pt idx="33">
                  <c:v>372433.640172521</c:v>
                </c:pt>
                <c:pt idx="34">
                  <c:v>377854.858649853</c:v>
                </c:pt>
                <c:pt idx="35">
                  <c:v>383656.626626531</c:v>
                </c:pt>
                <c:pt idx="36">
                  <c:v>389368.535430523</c:v>
                </c:pt>
                <c:pt idx="37">
                  <c:v>394565.090181077</c:v>
                </c:pt>
                <c:pt idx="38">
                  <c:v>398902.798076651</c:v>
                </c:pt>
                <c:pt idx="39">
                  <c:v>402140.306653343</c:v>
                </c:pt>
                <c:pt idx="40">
                  <c:v>404145.233914094</c:v>
                </c:pt>
                <c:pt idx="41">
                  <c:v>404891.057580602</c:v>
                </c:pt>
                <c:pt idx="42">
                  <c:v>404446.06300618</c:v>
                </c:pt>
                <c:pt idx="43">
                  <c:v>402955.814450084</c:v>
                </c:pt>
                <c:pt idx="44">
                  <c:v>400620.956058446</c:v>
                </c:pt>
                <c:pt idx="45">
                  <c:v>397672.406131795</c:v>
                </c:pt>
                <c:pt idx="46">
                  <c:v>394345.820954418</c:v>
                </c:pt>
                <c:pt idx="47">
                  <c:v>390857.23618829</c:v>
                </c:pt>
                <c:pt idx="48">
                  <c:v>387382.658140221</c:v>
                </c:pt>
                <c:pt idx="49">
                  <c:v>384045.500729688</c:v>
                </c:pt>
                <c:pt idx="50">
                  <c:v>380915.638308961</c:v>
                </c:pt>
                <c:pt idx="51">
                  <c:v>378021.49890644</c:v>
                </c:pt>
                <c:pt idx="52">
                  <c:v>375372.744938648</c:v>
                </c:pt>
                <c:pt idx="53">
                  <c:v>372987.576656649</c:v>
                </c:pt>
                <c:pt idx="54">
                  <c:v>370917.106795615</c:v>
                </c:pt>
                <c:pt idx="55">
                  <c:v>369259.781143645</c:v>
                </c:pt>
                <c:pt idx="56">
                  <c:v>368160.723586173</c:v>
                </c:pt>
                <c:pt idx="57">
                  <c:v>367793.704701095</c:v>
                </c:pt>
                <c:pt idx="58">
                  <c:v>368327.376348401</c:v>
                </c:pt>
                <c:pt idx="59">
                  <c:v>369882.385744718</c:v>
                </c:pt>
                <c:pt idx="60">
                  <c:v>372490.434521365</c:v>
                </c:pt>
                <c:pt idx="61">
                  <c:v>376067.613648458</c:v>
                </c:pt>
                <c:pt idx="62">
                  <c:v>380410.650423357</c:v>
                </c:pt>
                <c:pt idx="63">
                  <c:v>385217.1222716</c:v>
                </c:pt>
                <c:pt idx="64">
                  <c:v>390122.973474267</c:v>
                </c:pt>
                <c:pt idx="65">
                  <c:v>394746.732547651</c:v>
                </c:pt>
                <c:pt idx="66">
                  <c:v>398730.955224241</c:v>
                </c:pt>
                <c:pt idx="67">
                  <c:v>401775.608739572</c:v>
                </c:pt>
                <c:pt idx="68">
                  <c:v>403662.053956341</c:v>
                </c:pt>
                <c:pt idx="69">
                  <c:v>404268.042213051</c:v>
                </c:pt>
                <c:pt idx="70">
                  <c:v>403574.174336625</c:v>
                </c:pt>
                <c:pt idx="71">
                  <c:v>401662.115098474</c:v>
                </c:pt>
                <c:pt idx="72">
                  <c:v>398705.23834934</c:v>
                </c:pt>
                <c:pt idx="73">
                  <c:v>394952.694362158</c:v>
                </c:pt>
                <c:pt idx="74">
                  <c:v>390707.453992208</c:v>
                </c:pt>
                <c:pt idx="75">
                  <c:v>386298.257017935</c:v>
                </c:pt>
                <c:pt idx="76">
                  <c:v>382046.108354724</c:v>
                </c:pt>
                <c:pt idx="77">
                  <c:v>378228.767742256</c:v>
                </c:pt>
                <c:pt idx="78">
                  <c:v>375050.166467225</c:v>
                </c:pt>
                <c:pt idx="79">
                  <c:v>372623.027990275</c:v>
                </c:pt>
                <c:pt idx="80">
                  <c:v>370970.256364554</c:v>
                </c:pt>
                <c:pt idx="81">
                  <c:v>370044.715029349</c:v>
                </c:pt>
                <c:pt idx="82">
                  <c:v>369760.943566772</c:v>
                </c:pt>
                <c:pt idx="83">
                  <c:v>370029.162215741</c:v>
                </c:pt>
                <c:pt idx="84">
                  <c:v>370782.458299262</c:v>
                </c:pt>
                <c:pt idx="85">
                  <c:v>371991.027881143</c:v>
                </c:pt>
                <c:pt idx="86">
                  <c:v>373660.958437821</c:v>
                </c:pt>
                <c:pt idx="87">
                  <c:v>375818.473554134</c:v>
                </c:pt>
                <c:pt idx="88">
                  <c:v>378483.887681704</c:v>
                </c:pt>
                <c:pt idx="89">
                  <c:v>381642.471792001</c:v>
                </c:pt>
                <c:pt idx="90">
                  <c:v>385220.785359909</c:v>
                </c:pt>
                <c:pt idx="91">
                  <c:v>389075.506819948</c:v>
                </c:pt>
                <c:pt idx="92">
                  <c:v>392997.581978391</c:v>
                </c:pt>
                <c:pt idx="93">
                  <c:v>396729.651258855</c:v>
                </c:pt>
                <c:pt idx="94">
                  <c:v>399991.705650065</c:v>
                </c:pt>
                <c:pt idx="95">
                  <c:v>402509.755175092</c:v>
                </c:pt>
                <c:pt idx="96">
                  <c:v>404043.878907928</c:v>
                </c:pt>
                <c:pt idx="97">
                  <c:v>404413.477515481</c:v>
                </c:pt>
                <c:pt idx="98">
                  <c:v>403517.999131513</c:v>
                </c:pt>
                <c:pt idx="99">
                  <c:v>401351.470011045</c:v>
                </c:pt>
                <c:pt idx="100">
                  <c:v>398009.719199065</c:v>
                </c:pt>
                <c:pt idx="101">
                  <c:v>393690.036152495</c:v>
                </c:pt>
                <c:pt idx="102">
                  <c:v>388683.006366079</c:v>
                </c:pt>
                <c:pt idx="103">
                  <c:v>383354.984221555</c:v>
                </c:pt>
                <c:pt idx="104">
                  <c:v>378118.53351332</c:v>
                </c:pt>
                <c:pt idx="105">
                  <c:v>373389.666562197</c:v>
                </c:pt>
                <c:pt idx="106">
                  <c:v>369535.838615106</c:v>
                </c:pt>
                <c:pt idx="107">
                  <c:v>366825.186998015</c:v>
                </c:pt>
                <c:pt idx="108">
                  <c:v>365391.036731781</c:v>
                </c:pt>
                <c:pt idx="109">
                  <c:v>365222.914098194</c:v>
                </c:pt>
                <c:pt idx="110">
                  <c:v>366186.800306061</c:v>
                </c:pt>
                <c:pt idx="111">
                  <c:v>368067.429615489</c:v>
                </c:pt>
                <c:pt idx="112">
                  <c:v>370619.095044173</c:v>
                </c:pt>
                <c:pt idx="113">
                  <c:v>373611.043312435</c:v>
                </c:pt>
                <c:pt idx="114">
                  <c:v>376857.875642974</c:v>
                </c:pt>
                <c:pt idx="115">
                  <c:v>380231.293284112</c:v>
                </c:pt>
                <c:pt idx="116">
                  <c:v>383654.528121979</c:v>
                </c:pt>
                <c:pt idx="117">
                  <c:v>387084.097218481</c:v>
                </c:pt>
                <c:pt idx="118">
                  <c:v>390485.351198672</c:v>
                </c:pt>
                <c:pt idx="119">
                  <c:v>393808.751036664</c:v>
                </c:pt>
                <c:pt idx="120">
                  <c:v>396972.68321583</c:v>
                </c:pt>
                <c:pt idx="121">
                  <c:v>399856.095398932</c:v>
                </c:pt>
                <c:pt idx="122">
                  <c:v>402301.349807511</c:v>
                </c:pt>
                <c:pt idx="123">
                  <c:v>404125.734898136</c:v>
                </c:pt>
                <c:pt idx="124">
                  <c:v>405139.479833432</c:v>
                </c:pt>
                <c:pt idx="125">
                  <c:v>405168.174127518</c:v>
                </c:pt>
                <c:pt idx="126">
                  <c:v>404077.284831162</c:v>
                </c:pt>
                <c:pt idx="127">
                  <c:v>401795.946131567</c:v>
                </c:pt>
                <c:pt idx="128">
                  <c:v>398337.161508093</c:v>
                </c:pt>
                <c:pt idx="129">
                  <c:v>393812.407911605</c:v>
                </c:pt>
                <c:pt idx="130">
                  <c:v>388439.462692558</c:v>
                </c:pt>
                <c:pt idx="131">
                  <c:v>382541.627523703</c:v>
                </c:pt>
                <c:pt idx="132">
                  <c:v>376534.327078097</c:v>
                </c:pt>
                <c:pt idx="133">
                  <c:v>370893.667816589</c:v>
                </c:pt>
                <c:pt idx="134">
                  <c:v>366104.241518248</c:v>
                </c:pt>
                <c:pt idx="135">
                  <c:v>362591.265601429</c:v>
                </c:pt>
                <c:pt idx="136">
                  <c:v>360651.785608485</c:v>
                </c:pt>
                <c:pt idx="137">
                  <c:v>360405.017222139</c:v>
                </c:pt>
                <c:pt idx="138">
                  <c:v>361778.355747465</c:v>
                </c:pt>
                <c:pt idx="139">
                  <c:v>364533.761395758</c:v>
                </c:pt>
                <c:pt idx="140">
                  <c:v>368325.026270441</c:v>
                </c:pt>
                <c:pt idx="141">
                  <c:v>372767.085274839</c:v>
                </c:pt>
                <c:pt idx="142">
                  <c:v>377497.918908261</c:v>
                </c:pt>
                <c:pt idx="143">
                  <c:v>382220.26636463</c:v>
                </c:pt>
                <c:pt idx="144">
                  <c:v>386719.482429449</c:v>
                </c:pt>
                <c:pt idx="145">
                  <c:v>390860.917434259</c:v>
                </c:pt>
                <c:pt idx="146">
                  <c:v>394573.440732082</c:v>
                </c:pt>
                <c:pt idx="147">
                  <c:v>397826.006043283</c:v>
                </c:pt>
                <c:pt idx="148">
                  <c:v>400603.096207182</c:v>
                </c:pt>
                <c:pt idx="149">
                  <c:v>402883.49164364</c:v>
                </c:pt>
                <c:pt idx="150">
                  <c:v>404625.368896386</c:v>
                </c:pt>
                <c:pt idx="151">
                  <c:v>405759.385620622</c:v>
                </c:pt>
                <c:pt idx="152">
                  <c:v>406190.339656717</c:v>
                </c:pt>
                <c:pt idx="153">
                  <c:v>405807.186146146</c:v>
                </c:pt>
                <c:pt idx="154">
                  <c:v>404500.337438493</c:v>
                </c:pt>
                <c:pt idx="155">
                  <c:v>402184.080623005</c:v>
                </c:pt>
                <c:pt idx="156">
                  <c:v>398821.040188714</c:v>
                </c:pt>
                <c:pt idx="157">
                  <c:v>394445.543910187</c:v>
                </c:pt>
                <c:pt idx="158">
                  <c:v>389183.436989976</c:v>
                </c:pt>
                <c:pt idx="159">
                  <c:v>383266.11092113</c:v>
                </c:pt>
                <c:pt idx="160">
                  <c:v>377035.006297354</c:v>
                </c:pt>
                <c:pt idx="161">
                  <c:v>370930.184280213</c:v>
                </c:pt>
                <c:pt idx="162">
                  <c:v>365455.745758813</c:v>
                </c:pt>
                <c:pt idx="163">
                  <c:v>361119.342676537</c:v>
                </c:pt>
                <c:pt idx="164">
                  <c:v>358353.174278262</c:v>
                </c:pt>
                <c:pt idx="165">
                  <c:v>357435.249219385</c:v>
                </c:pt>
                <c:pt idx="166">
                  <c:v>358435.130337605</c:v>
                </c:pt>
                <c:pt idx="167">
                  <c:v>361202.936005098</c:v>
                </c:pt>
                <c:pt idx="168">
                  <c:v>365405.483799588</c:v>
                </c:pt>
                <c:pt idx="169">
                  <c:v>370596.582290645</c:v>
                </c:pt>
                <c:pt idx="170">
                  <c:v>376298.274668427</c:v>
                </c:pt>
                <c:pt idx="171">
                  <c:v>382070.563715431</c:v>
                </c:pt>
                <c:pt idx="172">
                  <c:v>387556.414325533</c:v>
                </c:pt>
                <c:pt idx="173">
                  <c:v>392500.149380623</c:v>
                </c:pt>
                <c:pt idx="174">
                  <c:v>396744.966161603</c:v>
                </c:pt>
                <c:pt idx="175">
                  <c:v>400217.424431557</c:v>
                </c:pt>
                <c:pt idx="176">
                  <c:v>402905.307631249</c:v>
                </c:pt>
                <c:pt idx="177">
                  <c:v>404833.171800299</c:v>
                </c:pt>
                <c:pt idx="178">
                  <c:v>406038.77195661</c:v>
                </c:pt>
                <c:pt idx="179">
                  <c:v>406553.24922143</c:v>
                </c:pt>
                <c:pt idx="180">
                  <c:v>406387.6627432</c:v>
                </c:pt>
                <c:pt idx="181">
                  <c:v>405527.713896393</c:v>
                </c:pt>
                <c:pt idx="182">
                  <c:v>403937.407494855</c:v>
                </c:pt>
                <c:pt idx="183">
                  <c:v>401571.149099744</c:v>
                </c:pt>
                <c:pt idx="184">
                  <c:v>398392.594201037</c:v>
                </c:pt>
                <c:pt idx="185">
                  <c:v>394397.713933049</c:v>
                </c:pt>
                <c:pt idx="186">
                  <c:v>389639.223429059</c:v>
                </c:pt>
                <c:pt idx="187">
                  <c:v>384249.428940229</c:v>
                </c:pt>
                <c:pt idx="188">
                  <c:v>378457.813365771</c:v>
                </c:pt>
                <c:pt idx="189">
                  <c:v>372597.748217963</c:v>
                </c:pt>
                <c:pt idx="190">
                  <c:v>367094.670091275</c:v>
                </c:pt>
                <c:pt idx="191">
                  <c:v>362428.730253864</c:v>
                </c:pt>
                <c:pt idx="192">
                  <c:v>359070.942342923</c:v>
                </c:pt>
                <c:pt idx="193">
                  <c:v>357402.676786795</c:v>
                </c:pt>
                <c:pt idx="194">
                  <c:v>357639.071958157</c:v>
                </c:pt>
                <c:pt idx="195">
                  <c:v>359780.664376572</c:v>
                </c:pt>
                <c:pt idx="196">
                  <c:v>363610.259844282</c:v>
                </c:pt>
                <c:pt idx="197">
                  <c:v>368736.197172595</c:v>
                </c:pt>
                <c:pt idx="198">
                  <c:v>374666.681639144</c:v>
                </c:pt>
                <c:pt idx="199">
                  <c:v>380891.238640634</c:v>
                </c:pt>
                <c:pt idx="200">
                  <c:v>386947.951901665</c:v>
                </c:pt>
                <c:pt idx="201">
                  <c:v>392465.58924711</c:v>
                </c:pt>
                <c:pt idx="202">
                  <c:v>397180.882842866</c:v>
                </c:pt>
                <c:pt idx="203">
                  <c:v>400937.530658222</c:v>
                </c:pt>
                <c:pt idx="204">
                  <c:v>403673.983843683</c:v>
                </c:pt>
                <c:pt idx="205">
                  <c:v>405404.65048378</c:v>
                </c:pt>
                <c:pt idx="206">
                  <c:v>406197.159657042</c:v>
                </c:pt>
                <c:pt idx="207">
                  <c:v>406148.080302479</c:v>
                </c:pt>
                <c:pt idx="208">
                  <c:v>405360.099780641</c:v>
                </c:pt>
                <c:pt idx="209">
                  <c:v>403923.789654629</c:v>
                </c:pt>
                <c:pt idx="210">
                  <c:v>401906.322830749</c:v>
                </c:pt>
                <c:pt idx="211">
                  <c:v>399348.381819751</c:v>
                </c:pt>
                <c:pt idx="212">
                  <c:v>396269.546469843</c:v>
                </c:pt>
                <c:pt idx="213">
                  <c:v>392681.659204804</c:v>
                </c:pt>
                <c:pt idx="214">
                  <c:v>388608.741358737</c:v>
                </c:pt>
                <c:pt idx="215">
                  <c:v>384110.869383531</c:v>
                </c:pt>
                <c:pt idx="216">
                  <c:v>379308.115957351</c:v>
                </c:pt>
                <c:pt idx="217">
                  <c:v>374399.270557613</c:v>
                </c:pt>
                <c:pt idx="218">
                  <c:v>369668.722650074</c:v>
                </c:pt>
                <c:pt idx="219">
                  <c:v>365474.464614979</c:v>
                </c:pt>
                <c:pt idx="220">
                  <c:v>362212.345716188</c:v>
                </c:pt>
                <c:pt idx="221">
                  <c:v>360257.842140159</c:v>
                </c:pt>
                <c:pt idx="222">
                  <c:v>359895.758730458</c:v>
                </c:pt>
                <c:pt idx="223">
                  <c:v>361256.391591639</c:v>
                </c:pt>
                <c:pt idx="224">
                  <c:v>364278.466570159</c:v>
                </c:pt>
                <c:pt idx="225">
                  <c:v>368711.879260341</c:v>
                </c:pt>
                <c:pt idx="226">
                  <c:v>374159.441846092</c:v>
                </c:pt>
                <c:pt idx="227">
                  <c:v>380143.393814012</c:v>
                </c:pt>
                <c:pt idx="228">
                  <c:v>386176.231371114</c:v>
                </c:pt>
                <c:pt idx="229">
                  <c:v>391818.711756136</c:v>
                </c:pt>
                <c:pt idx="230">
                  <c:v>396717.156382318</c:v>
                </c:pt>
                <c:pt idx="231">
                  <c:v>400621.130014084</c:v>
                </c:pt>
                <c:pt idx="232">
                  <c:v>403386.807627826</c:v>
                </c:pt>
                <c:pt idx="233">
                  <c:v>404970.791323796</c:v>
                </c:pt>
                <c:pt idx="234">
                  <c:v>405416.836659588</c:v>
                </c:pt>
                <c:pt idx="235">
                  <c:v>404836.777272161</c:v>
                </c:pt>
                <c:pt idx="236">
                  <c:v>403387.475604179</c:v>
                </c:pt>
                <c:pt idx="237">
                  <c:v>401246.584109994</c:v>
                </c:pt>
                <c:pt idx="238">
                  <c:v>398590.059587504</c:v>
                </c:pt>
                <c:pt idx="239">
                  <c:v>395573.81111952</c:v>
                </c:pt>
                <c:pt idx="240">
                  <c:v>392321.419874872</c:v>
                </c:pt>
                <c:pt idx="241">
                  <c:v>388919.842404158</c:v>
                </c:pt>
                <c:pt idx="242">
                  <c:v>385424.691987088</c:v>
                </c:pt>
                <c:pt idx="243">
                  <c:v>381875.221045532</c:v>
                </c:pt>
                <c:pt idx="244">
                  <c:v>378316.556460857</c:v>
                </c:pt>
                <c:pt idx="245">
                  <c:v>374824.116317301</c:v>
                </c:pt>
                <c:pt idx="246">
                  <c:v>371523.580078784</c:v>
                </c:pt>
                <c:pt idx="247">
                  <c:v>368599.707497989</c:v>
                </c:pt>
                <c:pt idx="248">
                  <c:v>366288.621282119</c:v>
                </c:pt>
                <c:pt idx="249">
                  <c:v>364851.017222595</c:v>
                </c:pt>
                <c:pt idx="250">
                  <c:v>364528.497805706</c:v>
                </c:pt>
                <c:pt idx="251">
                  <c:v>365491.359124423</c:v>
                </c:pt>
                <c:pt idx="252">
                  <c:v>367791.428401046</c:v>
                </c:pt>
                <c:pt idx="253">
                  <c:v>371334.608918336</c:v>
                </c:pt>
                <c:pt idx="254">
                  <c:v>375882.64780441</c:v>
                </c:pt>
                <c:pt idx="255">
                  <c:v>381083.847327601</c:v>
                </c:pt>
                <c:pt idx="256">
                  <c:v>386522.781804904</c:v>
                </c:pt>
                <c:pt idx="257">
                  <c:v>391774.545807866</c:v>
                </c:pt>
                <c:pt idx="258">
                  <c:v>396451.337390882</c:v>
                </c:pt>
                <c:pt idx="259">
                  <c:v>400235.654361997</c:v>
                </c:pt>
                <c:pt idx="260">
                  <c:v>402900.41923763</c:v>
                </c:pt>
                <c:pt idx="261">
                  <c:v>404318.866143271</c:v>
                </c:pt>
                <c:pt idx="262">
                  <c:v>404466.292927351</c:v>
                </c:pt>
                <c:pt idx="263">
                  <c:v>403414.247443358</c:v>
                </c:pt>
                <c:pt idx="264">
                  <c:v>401317.348755806</c:v>
                </c:pt>
                <c:pt idx="265">
                  <c:v>398393.743991812</c:v>
                </c:pt>
                <c:pt idx="266">
                  <c:v>394900.972137306</c:v>
                </c:pt>
                <c:pt idx="267">
                  <c:v>391109.124999378</c:v>
                </c:pt>
                <c:pt idx="268">
                  <c:v>387273.313243033</c:v>
                </c:pt>
                <c:pt idx="269">
                  <c:v>383608.437555982</c:v>
                </c:pt>
                <c:pt idx="270">
                  <c:v>380270.781743827</c:v>
                </c:pt>
                <c:pt idx="271">
                  <c:v>377351.332486199</c:v>
                </c:pt>
                <c:pt idx="272">
                  <c:v>374883.563829968</c:v>
                </c:pt>
                <c:pt idx="273">
                  <c:v>372864.083191009</c:v>
                </c:pt>
                <c:pt idx="274">
                  <c:v>371280.156240906</c:v>
                </c:pt>
                <c:pt idx="275">
                  <c:v>370135.931121461</c:v>
                </c:pt>
                <c:pt idx="276">
                  <c:v>369469.835110635</c:v>
                </c:pt>
                <c:pt idx="277">
                  <c:v>369358.168557707</c:v>
                </c:pt>
                <c:pt idx="278">
                  <c:v>369903.130398636</c:v>
                </c:pt>
                <c:pt idx="279">
                  <c:v>371206.952623731</c:v>
                </c:pt>
                <c:pt idx="280">
                  <c:v>373337.568290348</c:v>
                </c:pt>
                <c:pt idx="281">
                  <c:v>376294.646632273</c:v>
                </c:pt>
                <c:pt idx="282">
                  <c:v>379986.128348195</c:v>
                </c:pt>
                <c:pt idx="283">
                  <c:v>384222.934828096</c:v>
                </c:pt>
                <c:pt idx="284">
                  <c:v>388733.6378279</c:v>
                </c:pt>
                <c:pt idx="285">
                  <c:v>393194.332797055</c:v>
                </c:pt>
                <c:pt idx="286">
                  <c:v>397265.214038636</c:v>
                </c:pt>
                <c:pt idx="287">
                  <c:v>400625.949580846</c:v>
                </c:pt>
                <c:pt idx="288">
                  <c:v>403005.458617671</c:v>
                </c:pt>
                <c:pt idx="289">
                  <c:v>404205.102359907</c:v>
                </c:pt>
                <c:pt idx="290">
                  <c:v>404115.59750547</c:v>
                </c:pt>
                <c:pt idx="291">
                  <c:v>402727.438927862</c:v>
                </c:pt>
                <c:pt idx="292">
                  <c:v>400133.913154532</c:v>
                </c:pt>
                <c:pt idx="293">
                  <c:v>396525.927066574</c:v>
                </c:pt>
                <c:pt idx="294">
                  <c:v>392178.44519009</c:v>
                </c:pt>
                <c:pt idx="295">
                  <c:v>387428.461622192</c:v>
                </c:pt>
                <c:pt idx="296">
                  <c:v>382644.337384136</c:v>
                </c:pt>
                <c:pt idx="297">
                  <c:v>378187.391599323</c:v>
                </c:pt>
                <c:pt idx="298">
                  <c:v>374369.771007691</c:v>
                </c:pt>
                <c:pt idx="299">
                  <c:v>371416.660252167</c:v>
                </c:pt>
                <c:pt idx="300">
                  <c:v>369442.856973468</c:v>
                </c:pt>
                <c:pt idx="301">
                  <c:v>368451.171696808</c:v>
                </c:pt>
                <c:pt idx="302">
                  <c:v>368353.409166924</c:v>
                </c:pt>
                <c:pt idx="303">
                  <c:v>369007.135516517</c:v>
                </c:pt>
                <c:pt idx="304">
                  <c:v>370256.885058405</c:v>
                </c:pt>
                <c:pt idx="305">
                  <c:v>371968.629276787</c:v>
                </c:pt>
                <c:pt idx="306">
                  <c:v>374050.05178348</c:v>
                </c:pt>
                <c:pt idx="307">
                  <c:v>376453.940792965</c:v>
                </c:pt>
                <c:pt idx="308">
                  <c:v>379166.077554248</c:v>
                </c:pt>
                <c:pt idx="309">
                  <c:v>382182.067125915</c:v>
                </c:pt>
                <c:pt idx="310">
                  <c:v>385479.822966348</c:v>
                </c:pt>
                <c:pt idx="311">
                  <c:v>388995.453223788</c:v>
                </c:pt>
                <c:pt idx="312">
                  <c:v>392609.21225455</c:v>
                </c:pt>
                <c:pt idx="313">
                  <c:v>396144.842420841</c:v>
                </c:pt>
                <c:pt idx="314">
                  <c:v>399381.424394686</c:v>
                </c:pt>
                <c:pt idx="315">
                  <c:v>402073.89863423</c:v>
                </c:pt>
                <c:pt idx="316">
                  <c:v>403977.879696008</c:v>
                </c:pt>
                <c:pt idx="317">
                  <c:v>404875.580718657</c:v>
                </c:pt>
                <c:pt idx="318">
                  <c:v>404600.917147587</c:v>
                </c:pt>
                <c:pt idx="319">
                  <c:v>403062.147405508</c:v>
                </c:pt>
                <c:pt idx="320">
                  <c:v>400260.11335897</c:v>
                </c:pt>
                <c:pt idx="321">
                  <c:v>396300.164964285</c:v>
                </c:pt>
                <c:pt idx="322">
                  <c:v>391396.260589157</c:v>
                </c:pt>
                <c:pt idx="323">
                  <c:v>385865.643120347</c:v>
                </c:pt>
                <c:pt idx="324">
                  <c:v>380111.457603336</c:v>
                </c:pt>
                <c:pt idx="325">
                  <c:v>374589.997451524</c:v>
                </c:pt>
                <c:pt idx="326">
                  <c:v>369761.37201225</c:v>
                </c:pt>
                <c:pt idx="327">
                  <c:v>366028.38933878</c:v>
                </c:pt>
                <c:pt idx="328">
                  <c:v>363676.10661946</c:v>
                </c:pt>
                <c:pt idx="329">
                  <c:v>362828.948163907</c:v>
                </c:pt>
                <c:pt idx="330">
                  <c:v>363439.450873429</c:v>
                </c:pt>
                <c:pt idx="331">
                  <c:v>365312.714327888</c:v>
                </c:pt>
                <c:pt idx="332">
                  <c:v>368158.289395997</c:v>
                </c:pt>
                <c:pt idx="333">
                  <c:v>371652.823768752</c:v>
                </c:pt>
                <c:pt idx="334">
                  <c:v>375495.904139444</c:v>
                </c:pt>
                <c:pt idx="335">
                  <c:v>379447.182573205</c:v>
                </c:pt>
                <c:pt idx="336">
                  <c:v>383340.937431322</c:v>
                </c:pt>
                <c:pt idx="337">
                  <c:v>387080.750625282</c:v>
                </c:pt>
                <c:pt idx="338">
                  <c:v>390620.40701203</c:v>
                </c:pt>
                <c:pt idx="339">
                  <c:v>393938.036388963</c:v>
                </c:pt>
                <c:pt idx="340">
                  <c:v>397010.078468076</c:v>
                </c:pt>
                <c:pt idx="341">
                  <c:v>399790.421542885</c:v>
                </c:pt>
                <c:pt idx="342">
                  <c:v>402198.170875287</c:v>
                </c:pt>
                <c:pt idx="343">
                  <c:v>404115.310764317</c:v>
                </c:pt>
                <c:pt idx="344">
                  <c:v>405393.736933335</c:v>
                </c:pt>
                <c:pt idx="345">
                  <c:v>405870.177537327</c:v>
                </c:pt>
                <c:pt idx="346">
                  <c:v>405387.115147851</c:v>
                </c:pt>
                <c:pt idx="347">
                  <c:v>403817.409613788</c:v>
                </c:pt>
                <c:pt idx="348">
                  <c:v>401089.834195519</c:v>
                </c:pt>
                <c:pt idx="349">
                  <c:v>397212.669267472</c:v>
                </c:pt>
                <c:pt idx="350">
                  <c:v>392293.043006218</c:v>
                </c:pt>
                <c:pt idx="351">
                  <c:v>386550.034043541</c:v>
                </c:pt>
                <c:pt idx="352">
                  <c:v>380318.432734099</c:v>
                </c:pt>
                <c:pt idx="353">
                  <c:v>374037.628451314</c:v>
                </c:pt>
                <c:pt idx="354">
                  <c:v>368218.839065436</c:v>
                </c:pt>
                <c:pt idx="355">
                  <c:v>363387.251718177</c:v>
                </c:pt>
                <c:pt idx="356">
                  <c:v>360004.705897288</c:v>
                </c:pt>
                <c:pt idx="357">
                  <c:v>358389.817180072</c:v>
                </c:pt>
                <c:pt idx="358">
                  <c:v>358659.094250252</c:v>
                </c:pt>
                <c:pt idx="359">
                  <c:v>360709.090511379</c:v>
                </c:pt>
                <c:pt idx="360">
                  <c:v>364246.130228026</c:v>
                </c:pt>
                <c:pt idx="361">
                  <c:v>368853.141750174</c:v>
                </c:pt>
                <c:pt idx="362">
                  <c:v>374071.341133801</c:v>
                </c:pt>
                <c:pt idx="363">
                  <c:v>379473.221501205</c:v>
                </c:pt>
                <c:pt idx="364">
                  <c:v>384711.370474459</c:v>
                </c:pt>
                <c:pt idx="365">
                  <c:v>389539.157000857</c:v>
                </c:pt>
              </c:numCache>
            </c:numRef>
          </c:yVal>
          <c:smooth val="0"/>
        </c:ser>
        <c:axId val="40779830"/>
        <c:axId val="9662590"/>
      </c:scatterChart>
      <c:valAx>
        <c:axId val="40779830"/>
        <c:scaling>
          <c:orientation val="minMax"/>
          <c:max val="366"/>
          <c:min val="1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901850048685492"/>
              <c:y val="0.866912455721825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662590"/>
        <c:crosses val="autoZero"/>
        <c:crossBetween val="midCat"/>
        <c:majorUnit val="30"/>
      </c:valAx>
      <c:valAx>
        <c:axId val="9662590"/>
        <c:scaling>
          <c:orientation val="minMax"/>
          <c:max val="410000"/>
          <c:min val="35000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R / km</a:t>
                </a:r>
              </a:p>
            </c:rich>
          </c:tx>
          <c:layout>
            <c:manualLayout>
              <c:xMode val="edge"/>
              <c:yMode val="edge"/>
              <c:x val="0.092064264849075"/>
              <c:y val="0.129906744740837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0779830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declination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55751498967098"/>
          <c:y val="0.0875659382064808"/>
          <c:w val="0.923968357938227"/>
          <c:h val="0.821853805576488"/>
        </c:manualLayout>
      </c:layout>
      <c:scatterChart>
        <c:scatterStyle val="line"/>
        <c:varyColors val="0"/>
        <c:ser>
          <c:idx val="0"/>
          <c:order val="0"/>
          <c:tx>
            <c:strRef>
              <c:f>label 1</c:f>
              <c:strCache>
                <c:ptCount val="1"/>
                <c:pt idx="0">
                  <c:v>Datenreihen1</c:v>
                </c:pt>
              </c:strCache>
            </c:strRef>
          </c:tx>
          <c:spPr>
            <a:noFill/>
            <a:ln w="216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0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1</c:f>
              <c:numCache>
                <c:formatCode>General</c:formatCode>
                <c:ptCount val="366"/>
                <c:pt idx="0">
                  <c:v>-6.45162724218871</c:v>
                </c:pt>
                <c:pt idx="1">
                  <c:v>-1.81179491221556</c:v>
                </c:pt>
                <c:pt idx="2">
                  <c:v>3.01702448826841</c:v>
                </c:pt>
                <c:pt idx="3">
                  <c:v>7.86200027217789</c:v>
                </c:pt>
                <c:pt idx="4">
                  <c:v>12.5013235346455</c:v>
                </c:pt>
                <c:pt idx="5">
                  <c:v>16.6461346135647</c:v>
                </c:pt>
                <c:pt idx="6">
                  <c:v>19.9423484574713</c:v>
                </c:pt>
                <c:pt idx="7">
                  <c:v>22.013244369711</c:v>
                </c:pt>
                <c:pt idx="8">
                  <c:v>22.5516177509483</c:v>
                </c:pt>
                <c:pt idx="9">
                  <c:v>21.4299869479046</c:v>
                </c:pt>
                <c:pt idx="10">
                  <c:v>18.7586961381176</c:v>
                </c:pt>
                <c:pt idx="11">
                  <c:v>14.8469010908857</c:v>
                </c:pt>
                <c:pt idx="12">
                  <c:v>10.0989813765129</c:v>
                </c:pt>
                <c:pt idx="13">
                  <c:v>4.91594098035463</c:v>
                </c:pt>
                <c:pt idx="14">
                  <c:v>-0.359105024627999</c:v>
                </c:pt>
                <c:pt idx="15">
                  <c:v>-5.45345146861425</c:v>
                </c:pt>
                <c:pt idx="16">
                  <c:v>-10.1536461197911</c:v>
                </c:pt>
                <c:pt idx="17">
                  <c:v>-14.2872132510303</c:v>
                </c:pt>
                <c:pt idx="18">
                  <c:v>-17.7078200897723</c:v>
                </c:pt>
                <c:pt idx="19">
                  <c:v>-20.2893855789082</c:v>
                </c:pt>
                <c:pt idx="20">
                  <c:v>-21.9303601173856</c:v>
                </c:pt>
                <c:pt idx="21">
                  <c:v>-22.5651391575106</c:v>
                </c:pt>
                <c:pt idx="22">
                  <c:v>-22.1760707698659</c:v>
                </c:pt>
                <c:pt idx="23">
                  <c:v>-20.7989637545866</c:v>
                </c:pt>
                <c:pt idx="24">
                  <c:v>-18.5185595127934</c:v>
                </c:pt>
                <c:pt idx="25">
                  <c:v>-15.4558978141766</c:v>
                </c:pt>
                <c:pt idx="26">
                  <c:v>-11.7529521992438</c:v>
                </c:pt>
                <c:pt idx="27">
                  <c:v>-7.55976106074719</c:v>
                </c:pt>
                <c:pt idx="28">
                  <c:v>-3.0272431234529</c:v>
                </c:pt>
                <c:pt idx="29">
                  <c:v>1.69283385240238</c:v>
                </c:pt>
                <c:pt idx="30">
                  <c:v>6.44015208951093</c:v>
                </c:pt>
                <c:pt idx="31">
                  <c:v>11.0308984337524</c:v>
                </c:pt>
                <c:pt idx="32">
                  <c:v>15.2388276992693</c:v>
                </c:pt>
                <c:pt idx="33">
                  <c:v>18.7812543601953</c:v>
                </c:pt>
                <c:pt idx="34">
                  <c:v>21.3266132442554</c:v>
                </c:pt>
                <c:pt idx="35">
                  <c:v>22.5429569174881</c:v>
                </c:pt>
                <c:pt idx="36">
                  <c:v>22.1896846313414</c:v>
                </c:pt>
                <c:pt idx="37">
                  <c:v>20.213988981318</c:v>
                </c:pt>
                <c:pt idx="38">
                  <c:v>16.7876789124655</c:v>
                </c:pt>
                <c:pt idx="39">
                  <c:v>12.2571028292998</c:v>
                </c:pt>
                <c:pt idx="40">
                  <c:v>7.04547237041021</c:v>
                </c:pt>
                <c:pt idx="41">
                  <c:v>1.5659057150645</c:v>
                </c:pt>
                <c:pt idx="42">
                  <c:v>-3.82729482168275</c:v>
                </c:pt>
                <c:pt idx="43">
                  <c:v>-8.85283619927457</c:v>
                </c:pt>
                <c:pt idx="44">
                  <c:v>-13.2963169681338</c:v>
                </c:pt>
                <c:pt idx="45">
                  <c:v>-16.9963418051753</c:v>
                </c:pt>
                <c:pt idx="46">
                  <c:v>-19.8314573427783</c:v>
                </c:pt>
                <c:pt idx="47">
                  <c:v>-21.7130296607631</c:v>
                </c:pt>
                <c:pt idx="48">
                  <c:v>-22.5855368833436</c:v>
                </c:pt>
                <c:pt idx="49">
                  <c:v>-22.4317760213487</c:v>
                </c:pt>
                <c:pt idx="50">
                  <c:v>-21.2777851370896</c:v>
                </c:pt>
                <c:pt idx="51">
                  <c:v>-19.1928019558989</c:v>
                </c:pt>
                <c:pt idx="52">
                  <c:v>-16.2830705693923</c:v>
                </c:pt>
                <c:pt idx="53">
                  <c:v>-12.6819570078971</c:v>
                </c:pt>
                <c:pt idx="54">
                  <c:v>-8.54008988626057</c:v>
                </c:pt>
                <c:pt idx="55">
                  <c:v>-4.01819537011802</c:v>
                </c:pt>
                <c:pt idx="56">
                  <c:v>0.716239388266703</c:v>
                </c:pt>
                <c:pt idx="57">
                  <c:v>5.48810560086112</c:v>
                </c:pt>
                <c:pt idx="58">
                  <c:v>10.1094453190465</c:v>
                </c:pt>
                <c:pt idx="59">
                  <c:v>14.3704887636487</c:v>
                </c:pt>
                <c:pt idx="60">
                  <c:v>18.0303216842312</c:v>
                </c:pt>
                <c:pt idx="61">
                  <c:v>20.8156761184526</c:v>
                </c:pt>
                <c:pt idx="62">
                  <c:v>22.4413194263208</c:v>
                </c:pt>
                <c:pt idx="63">
                  <c:v>22.6623621429329</c:v>
                </c:pt>
                <c:pt idx="64">
                  <c:v>21.3487658609553</c:v>
                </c:pt>
                <c:pt idx="65">
                  <c:v>18.5446758950054</c:v>
                </c:pt>
                <c:pt idx="66">
                  <c:v>14.4733898044154</c:v>
                </c:pt>
                <c:pt idx="67">
                  <c:v>9.48575223359077</c:v>
                </c:pt>
                <c:pt idx="68">
                  <c:v>3.98603121174811</c:v>
                </c:pt>
                <c:pt idx="69">
                  <c:v>-1.630400891339</c:v>
                </c:pt>
                <c:pt idx="70">
                  <c:v>-7.01476357739495</c:v>
                </c:pt>
                <c:pt idx="71">
                  <c:v>-11.8813039080136</c:v>
                </c:pt>
                <c:pt idx="72">
                  <c:v>-16.0101883140889</c:v>
                </c:pt>
                <c:pt idx="73">
                  <c:v>-19.2433143724562</c:v>
                </c:pt>
                <c:pt idx="74">
                  <c:v>-21.4776847881168</c:v>
                </c:pt>
                <c:pt idx="75">
                  <c:v>-22.6594356261772</c:v>
                </c:pt>
                <c:pt idx="76">
                  <c:v>-22.7796233416368</c:v>
                </c:pt>
                <c:pt idx="77">
                  <c:v>-21.8707384206851</c:v>
                </c:pt>
                <c:pt idx="78">
                  <c:v>-20.0020441706003</c:v>
                </c:pt>
                <c:pt idx="79">
                  <c:v>-17.2729659136351</c:v>
                </c:pt>
                <c:pt idx="80">
                  <c:v>-13.8057345498031</c:v>
                </c:pt>
                <c:pt idx="81">
                  <c:v>-9.73947472284404</c:v>
                </c:pt>
                <c:pt idx="82">
                  <c:v>-5.22729658606261</c:v>
                </c:pt>
                <c:pt idx="83">
                  <c:v>-0.436542243972484</c:v>
                </c:pt>
                <c:pt idx="84">
                  <c:v>4.44875678752951</c:v>
                </c:pt>
                <c:pt idx="85">
                  <c:v>9.22457190951298</c:v>
                </c:pt>
                <c:pt idx="86">
                  <c:v>13.6642604191143</c:v>
                </c:pt>
                <c:pt idx="87">
                  <c:v>17.518940128662</c:v>
                </c:pt>
                <c:pt idx="88">
                  <c:v>20.5249758961992</c:v>
                </c:pt>
                <c:pt idx="89">
                  <c:v>22.4244942154229</c:v>
                </c:pt>
                <c:pt idx="90">
                  <c:v>23.0028471711755</c:v>
                </c:pt>
                <c:pt idx="91">
                  <c:v>22.1370980370434</c:v>
                </c:pt>
                <c:pt idx="92">
                  <c:v>19.8359580746258</c:v>
                </c:pt>
                <c:pt idx="93">
                  <c:v>16.2493980264825</c:v>
                </c:pt>
                <c:pt idx="94">
                  <c:v>11.6432525494995</c:v>
                </c:pt>
                <c:pt idx="95">
                  <c:v>6.35440036117532</c:v>
                </c:pt>
                <c:pt idx="96">
                  <c:v>0.746228588884457</c:v>
                </c:pt>
                <c:pt idx="97">
                  <c:v>-4.82552337032537</c:v>
                </c:pt>
                <c:pt idx="98">
                  <c:v>-10.036231236338</c:v>
                </c:pt>
                <c:pt idx="99">
                  <c:v>-14.6084828595567</c:v>
                </c:pt>
                <c:pt idx="100">
                  <c:v>-18.323313392127</c:v>
                </c:pt>
                <c:pt idx="101">
                  <c:v>-21.0271941079577</c:v>
                </c:pt>
                <c:pt idx="102">
                  <c:v>-22.6342274243702</c:v>
                </c:pt>
                <c:pt idx="103">
                  <c:v>-23.1228853347865</c:v>
                </c:pt>
                <c:pt idx="104">
                  <c:v>-22.5273669890111</c:v>
                </c:pt>
                <c:pt idx="105">
                  <c:v>-20.924964404884</c:v>
                </c:pt>
                <c:pt idx="106">
                  <c:v>-18.4221200384995</c:v>
                </c:pt>
                <c:pt idx="107">
                  <c:v>-15.1423585187381</c:v>
                </c:pt>
                <c:pt idx="108">
                  <c:v>-11.2186755161605</c:v>
                </c:pt>
                <c:pt idx="109">
                  <c:v>-6.7916537598462</c:v>
                </c:pt>
                <c:pt idx="110">
                  <c:v>-2.01312676185673</c:v>
                </c:pt>
                <c:pt idx="111">
                  <c:v>2.9460591391367</c:v>
                </c:pt>
                <c:pt idx="112">
                  <c:v>7.88672162511753</c:v>
                </c:pt>
                <c:pt idx="113">
                  <c:v>12.5740957505665</c:v>
                </c:pt>
                <c:pt idx="114">
                  <c:v>16.7376141286654</c:v>
                </c:pt>
                <c:pt idx="115">
                  <c:v>20.0838495055452</c:v>
                </c:pt>
                <c:pt idx="116">
                  <c:v>22.3279023499313</c:v>
                </c:pt>
                <c:pt idx="117">
                  <c:v>23.241997442487</c:v>
                </c:pt>
                <c:pt idx="118">
                  <c:v>22.7069356501713</c:v>
                </c:pt>
                <c:pt idx="119">
                  <c:v>20.7420282238402</c:v>
                </c:pt>
                <c:pt idx="120">
                  <c:v>17.4976196605335</c:v>
                </c:pt>
                <c:pt idx="121">
                  <c:v>13.2183351590965</c:v>
                </c:pt>
                <c:pt idx="122">
                  <c:v>8.2002806409269</c:v>
                </c:pt>
                <c:pt idx="123">
                  <c:v>2.75924459025219</c:v>
                </c:pt>
                <c:pt idx="124">
                  <c:v>-2.78763404039124</c:v>
                </c:pt>
                <c:pt idx="125">
                  <c:v>-8.13283991787655</c:v>
                </c:pt>
                <c:pt idx="126">
                  <c:v>-12.9888691357733</c:v>
                </c:pt>
                <c:pt idx="127">
                  <c:v>-17.1016873230842</c:v>
                </c:pt>
                <c:pt idx="128">
                  <c:v>-20.2670897044538</c:v>
                </c:pt>
                <c:pt idx="129">
                  <c:v>-22.3464529390781</c:v>
                </c:pt>
                <c:pt idx="130">
                  <c:v>-23.2763889843223</c:v>
                </c:pt>
                <c:pt idx="131">
                  <c:v>-23.0675461273428</c:v>
                </c:pt>
                <c:pt idx="132">
                  <c:v>-21.7918104052236</c:v>
                </c:pt>
                <c:pt idx="133">
                  <c:v>-19.5622877014249</c:v>
                </c:pt>
                <c:pt idx="134">
                  <c:v>-16.5130238789838</c:v>
                </c:pt>
                <c:pt idx="135">
                  <c:v>-12.7841495079332</c:v>
                </c:pt>
                <c:pt idx="136">
                  <c:v>-8.51507709136632</c:v>
                </c:pt>
                <c:pt idx="137">
                  <c:v>-3.84595707552817</c:v>
                </c:pt>
                <c:pt idx="138">
                  <c:v>1.07364602781469</c:v>
                </c:pt>
                <c:pt idx="139">
                  <c:v>6.07079512360499</c:v>
                </c:pt>
                <c:pt idx="140">
                  <c:v>10.9333817621784</c:v>
                </c:pt>
                <c:pt idx="141">
                  <c:v>15.3985856131121</c:v>
                </c:pt>
                <c:pt idx="142">
                  <c:v>19.1552605073017</c:v>
                </c:pt>
                <c:pt idx="143">
                  <c:v>21.8719461460553</c:v>
                </c:pt>
                <c:pt idx="144">
                  <c:v>23.2562343988421</c:v>
                </c:pt>
                <c:pt idx="145">
                  <c:v>23.1310104148086</c:v>
                </c:pt>
                <c:pt idx="146">
                  <c:v>21.4889348871077</c:v>
                </c:pt>
                <c:pt idx="147">
                  <c:v>18.4898208500944</c:v>
                </c:pt>
                <c:pt idx="148">
                  <c:v>14.4057678086874</c:v>
                </c:pt>
                <c:pt idx="149">
                  <c:v>9.55363286560154</c:v>
                </c:pt>
                <c:pt idx="150">
                  <c:v>4.24881553420908</c:v>
                </c:pt>
                <c:pt idx="151">
                  <c:v>-1.21259366300207</c:v>
                </c:pt>
                <c:pt idx="152">
                  <c:v>-6.55398248604554</c:v>
                </c:pt>
                <c:pt idx="153">
                  <c:v>-11.5141945094851</c:v>
                </c:pt>
                <c:pt idx="154">
                  <c:v>-15.8486221916885</c:v>
                </c:pt>
                <c:pt idx="155">
                  <c:v>-19.3393747195285</c:v>
                </c:pt>
                <c:pt idx="156">
                  <c:v>-21.8133353007686</c:v>
                </c:pt>
                <c:pt idx="157">
                  <c:v>-23.1620562142823</c:v>
                </c:pt>
                <c:pt idx="158">
                  <c:v>-23.3544247047424</c:v>
                </c:pt>
                <c:pt idx="159">
                  <c:v>-22.4348447572817</c:v>
                </c:pt>
                <c:pt idx="160">
                  <c:v>-20.5067429136942</c:v>
                </c:pt>
                <c:pt idx="161">
                  <c:v>-17.7085977357679</c:v>
                </c:pt>
                <c:pt idx="162">
                  <c:v>-14.1917392884771</c:v>
                </c:pt>
                <c:pt idx="163">
                  <c:v>-10.1058762296969</c:v>
                </c:pt>
                <c:pt idx="164">
                  <c:v>-5.5940526860971</c:v>
                </c:pt>
                <c:pt idx="165">
                  <c:v>-0.796501840682712</c:v>
                </c:pt>
                <c:pt idx="166">
                  <c:v>4.13767063848387</c:v>
                </c:pt>
                <c:pt idx="167">
                  <c:v>9.03263243234007</c:v>
                </c:pt>
                <c:pt idx="168">
                  <c:v>13.66562277136</c:v>
                </c:pt>
                <c:pt idx="169">
                  <c:v>17.7527676454794</c:v>
                </c:pt>
                <c:pt idx="170">
                  <c:v>20.9554284968282</c:v>
                </c:pt>
                <c:pt idx="171">
                  <c:v>22.9239914195083</c:v>
                </c:pt>
                <c:pt idx="172">
                  <c:v>23.382547062993</c:v>
                </c:pt>
                <c:pt idx="173">
                  <c:v>22.2227547573302</c:v>
                </c:pt>
                <c:pt idx="174">
                  <c:v>19.5476854434402</c:v>
                </c:pt>
                <c:pt idx="175">
                  <c:v>15.6338092072707</c:v>
                </c:pt>
                <c:pt idx="176">
                  <c:v>10.8430600607247</c:v>
                </c:pt>
                <c:pt idx="177">
                  <c:v>5.54254406817773</c:v>
                </c:pt>
                <c:pt idx="178">
                  <c:v>0.0619772131610148</c:v>
                </c:pt>
                <c:pt idx="179">
                  <c:v>-5.31480085383491</c:v>
                </c:pt>
                <c:pt idx="180">
                  <c:v>-10.3408871103344</c:v>
                </c:pt>
                <c:pt idx="181">
                  <c:v>-14.7949545674848</c:v>
                </c:pt>
                <c:pt idx="182">
                  <c:v>-18.4770050941399</c:v>
                </c:pt>
                <c:pt idx="183">
                  <c:v>-21.2153194750578</c:v>
                </c:pt>
                <c:pt idx="184">
                  <c:v>-22.8829663471431</c:v>
                </c:pt>
                <c:pt idx="185">
                  <c:v>-23.4163913376856</c:v>
                </c:pt>
                <c:pt idx="186">
                  <c:v>-22.8256161627533</c:v>
                </c:pt>
                <c:pt idx="187">
                  <c:v>-21.1890880738538</c:v>
                </c:pt>
                <c:pt idx="188">
                  <c:v>-18.6349236337191</c:v>
                </c:pt>
                <c:pt idx="189">
                  <c:v>-15.3171947365999</c:v>
                </c:pt>
                <c:pt idx="190">
                  <c:v>-11.3960641720063</c:v>
                </c:pt>
                <c:pt idx="191">
                  <c:v>-7.02621192531843</c:v>
                </c:pt>
                <c:pt idx="192">
                  <c:v>-2.35409857387534</c:v>
                </c:pt>
                <c:pt idx="193">
                  <c:v>2.4767128559635</c:v>
                </c:pt>
                <c:pt idx="194">
                  <c:v>7.3128452845589</c:v>
                </c:pt>
                <c:pt idx="195">
                  <c:v>11.9722087437205</c:v>
                </c:pt>
                <c:pt idx="196">
                  <c:v>16.2229925378766</c:v>
                </c:pt>
                <c:pt idx="197">
                  <c:v>19.770730580701</c:v>
                </c:pt>
                <c:pt idx="198">
                  <c:v>22.2713146590287</c:v>
                </c:pt>
                <c:pt idx="199">
                  <c:v>23.3885388979072</c:v>
                </c:pt>
                <c:pt idx="200">
                  <c:v>22.8929555588607</c:v>
                </c:pt>
                <c:pt idx="201">
                  <c:v>20.7553977365697</c:v>
                </c:pt>
                <c:pt idx="202">
                  <c:v>17.1703215956608</c:v>
                </c:pt>
                <c:pt idx="203">
                  <c:v>12.4930530824319</c:v>
                </c:pt>
                <c:pt idx="204">
                  <c:v>7.14044782107069</c:v>
                </c:pt>
                <c:pt idx="205">
                  <c:v>1.51190988615021</c:v>
                </c:pt>
                <c:pt idx="206">
                  <c:v>-4.04888856810981</c:v>
                </c:pt>
                <c:pt idx="207">
                  <c:v>-9.2603351389969</c:v>
                </c:pt>
                <c:pt idx="208">
                  <c:v>-13.8933742717093</c:v>
                </c:pt>
                <c:pt idx="209">
                  <c:v>-17.7592879702234</c:v>
                </c:pt>
                <c:pt idx="210">
                  <c:v>-20.7033123850696</c:v>
                </c:pt>
                <c:pt idx="211">
                  <c:v>-22.6079578973042</c:v>
                </c:pt>
                <c:pt idx="212">
                  <c:v>-23.4042129629203</c:v>
                </c:pt>
                <c:pt idx="213">
                  <c:v>-23.0832699291197</c:v>
                </c:pt>
                <c:pt idx="214">
                  <c:v>-21.6998388790693</c:v>
                </c:pt>
                <c:pt idx="215">
                  <c:v>-19.3629071488236</c:v>
                </c:pt>
                <c:pt idx="216">
                  <c:v>-16.2175056219484</c:v>
                </c:pt>
                <c:pt idx="217">
                  <c:v>-12.4252161657175</c:v>
                </c:pt>
                <c:pt idx="218">
                  <c:v>-8.14963499746537</c:v>
                </c:pt>
                <c:pt idx="219">
                  <c:v>-3.54909774690347</c:v>
                </c:pt>
                <c:pt idx="220">
                  <c:v>1.22361246253811</c:v>
                </c:pt>
                <c:pt idx="221">
                  <c:v>6.01529248341992</c:v>
                </c:pt>
                <c:pt idx="222">
                  <c:v>10.6604545714543</c:v>
                </c:pt>
                <c:pt idx="223">
                  <c:v>14.964690296594</c:v>
                </c:pt>
                <c:pt idx="224">
                  <c:v>18.6878160899571</c:v>
                </c:pt>
                <c:pt idx="225">
                  <c:v>21.5379942751826</c:v>
                </c:pt>
                <c:pt idx="226">
                  <c:v>23.1947163681115</c:v>
                </c:pt>
                <c:pt idx="227">
                  <c:v>23.3745176831508</c:v>
                </c:pt>
                <c:pt idx="228">
                  <c:v>21.9258367537582</c:v>
                </c:pt>
                <c:pt idx="229">
                  <c:v>18.9016732992471</c:v>
                </c:pt>
                <c:pt idx="230">
                  <c:v>14.55940147027</c:v>
                </c:pt>
                <c:pt idx="231">
                  <c:v>9.2912327047838</c:v>
                </c:pt>
                <c:pt idx="232">
                  <c:v>3.53454337147306</c:v>
                </c:pt>
                <c:pt idx="233">
                  <c:v>-2.29597724653103</c:v>
                </c:pt>
                <c:pt idx="234">
                  <c:v>-7.84363939430154</c:v>
                </c:pt>
                <c:pt idx="235">
                  <c:v>-12.8205842641679</c:v>
                </c:pt>
                <c:pt idx="236">
                  <c:v>-17.0052600224295</c:v>
                </c:pt>
                <c:pt idx="237">
                  <c:v>-20.2352068870715</c:v>
                </c:pt>
                <c:pt idx="238">
                  <c:v>-22.4011570099461</c:v>
                </c:pt>
                <c:pt idx="239">
                  <c:v>-23.4454254983521</c:v>
                </c:pt>
                <c:pt idx="240">
                  <c:v>-23.3634706725334</c:v>
                </c:pt>
                <c:pt idx="241">
                  <c:v>-22.204084937526</c:v>
                </c:pt>
                <c:pt idx="242">
                  <c:v>-20.0638230002694</c:v>
                </c:pt>
                <c:pt idx="243">
                  <c:v>-17.0751563118484</c:v>
                </c:pt>
                <c:pt idx="244">
                  <c:v>-13.3919679246176</c:v>
                </c:pt>
                <c:pt idx="245">
                  <c:v>-9.17706637812535</c:v>
                </c:pt>
                <c:pt idx="246">
                  <c:v>-4.594563457871</c:v>
                </c:pt>
                <c:pt idx="247">
                  <c:v>0.192416367875162</c:v>
                </c:pt>
                <c:pt idx="248">
                  <c:v>5.01946054648721</c:v>
                </c:pt>
                <c:pt idx="249">
                  <c:v>9.71484349264572</c:v>
                </c:pt>
                <c:pt idx="250">
                  <c:v>14.090457503838</c:v>
                </c:pt>
                <c:pt idx="251">
                  <c:v>17.931503537584</c:v>
                </c:pt>
                <c:pt idx="252">
                  <c:v>20.9901538214291</c:v>
                </c:pt>
                <c:pt idx="253">
                  <c:v>22.9935540429055</c:v>
                </c:pt>
                <c:pt idx="254">
                  <c:v>23.6785902881166</c:v>
                </c:pt>
                <c:pt idx="255">
                  <c:v>22.8555341242992</c:v>
                </c:pt>
                <c:pt idx="256">
                  <c:v>20.4778760111468</c:v>
                </c:pt>
                <c:pt idx="257">
                  <c:v>16.6783054848347</c:v>
                </c:pt>
                <c:pt idx="258">
                  <c:v>11.7486656166792</c:v>
                </c:pt>
                <c:pt idx="259">
                  <c:v>6.08046039497742</c:v>
                </c:pt>
                <c:pt idx="260">
                  <c:v>0.0996425835426075</c:v>
                </c:pt>
                <c:pt idx="261">
                  <c:v>-5.78339490595551</c:v>
                </c:pt>
                <c:pt idx="262">
                  <c:v>-11.2058095678593</c:v>
                </c:pt>
                <c:pt idx="263">
                  <c:v>-15.8711249555484</c:v>
                </c:pt>
                <c:pt idx="264">
                  <c:v>-19.5591259493248</c:v>
                </c:pt>
                <c:pt idx="265">
                  <c:v>-22.1288019624971</c:v>
                </c:pt>
                <c:pt idx="266">
                  <c:v>-23.5152986509151</c:v>
                </c:pt>
                <c:pt idx="267">
                  <c:v>-23.7218918930672</c:v>
                </c:pt>
                <c:pt idx="268">
                  <c:v>-22.8082880498747</c:v>
                </c:pt>
                <c:pt idx="269">
                  <c:v>-20.8768550175609</c:v>
                </c:pt>
                <c:pt idx="270">
                  <c:v>-18.0586937619171</c:v>
                </c:pt>
                <c:pt idx="271">
                  <c:v>-14.5015398810569</c:v>
                </c:pt>
                <c:pt idx="272">
                  <c:v>-10.3611072476394</c:v>
                </c:pt>
                <c:pt idx="273">
                  <c:v>-5.79671471256755</c:v>
                </c:pt>
                <c:pt idx="274">
                  <c:v>-0.97114578967111</c:v>
                </c:pt>
                <c:pt idx="275">
                  <c:v>3.94606246535202</c:v>
                </c:pt>
                <c:pt idx="276">
                  <c:v>8.77320817477263</c:v>
                </c:pt>
                <c:pt idx="277">
                  <c:v>13.3105548911412</c:v>
                </c:pt>
                <c:pt idx="278">
                  <c:v>17.3362490568991</c:v>
                </c:pt>
                <c:pt idx="279">
                  <c:v>20.6075448261994</c:v>
                </c:pt>
                <c:pt idx="280">
                  <c:v>22.8726326830035</c:v>
                </c:pt>
                <c:pt idx="281">
                  <c:v>23.8984485943657</c:v>
                </c:pt>
                <c:pt idx="282">
                  <c:v>23.5140758899795</c:v>
                </c:pt>
                <c:pt idx="283">
                  <c:v>21.6570137309383</c:v>
                </c:pt>
                <c:pt idx="284">
                  <c:v>18.4007346228615</c:v>
                </c:pt>
                <c:pt idx="285">
                  <c:v>13.9498650838476</c:v>
                </c:pt>
                <c:pt idx="286">
                  <c:v>8.60913346676074</c:v>
                </c:pt>
                <c:pt idx="287">
                  <c:v>2.74360580865676</c:v>
                </c:pt>
                <c:pt idx="288">
                  <c:v>-3.25703698827348</c:v>
                </c:pt>
                <c:pt idx="289">
                  <c:v>-9.00783100608241</c:v>
                </c:pt>
                <c:pt idx="290">
                  <c:v>-14.1547747616882</c:v>
                </c:pt>
                <c:pt idx="291">
                  <c:v>-18.4005531266039</c:v>
                </c:pt>
                <c:pt idx="292">
                  <c:v>-21.5281327645022</c:v>
                </c:pt>
                <c:pt idx="293">
                  <c:v>-23.4165389706451</c:v>
                </c:pt>
                <c:pt idx="294">
                  <c:v>-24.0423590676847</c:v>
                </c:pt>
                <c:pt idx="295">
                  <c:v>-23.4649491064224</c:v>
                </c:pt>
                <c:pt idx="296">
                  <c:v>-21.8007171400309</c:v>
                </c:pt>
                <c:pt idx="297">
                  <c:v>-19.1962779710512</c:v>
                </c:pt>
                <c:pt idx="298">
                  <c:v>-15.8083682836632</c:v>
                </c:pt>
                <c:pt idx="299">
                  <c:v>-11.7931259812371</c:v>
                </c:pt>
                <c:pt idx="300">
                  <c:v>-7.30344410811554</c:v>
                </c:pt>
                <c:pt idx="301">
                  <c:v>-2.49210586358928</c:v>
                </c:pt>
                <c:pt idx="302">
                  <c:v>2.4811320578666</c:v>
                </c:pt>
                <c:pt idx="303">
                  <c:v>7.44008671316865</c:v>
                </c:pt>
                <c:pt idx="304">
                  <c:v>12.1825519760358</c:v>
                </c:pt>
                <c:pt idx="305">
                  <c:v>16.4742753416522</c:v>
                </c:pt>
                <c:pt idx="306">
                  <c:v>20.0520738668551</c:v>
                </c:pt>
                <c:pt idx="307">
                  <c:v>22.6424988113466</c:v>
                </c:pt>
                <c:pt idx="308">
                  <c:v>23.9993242351107</c:v>
                </c:pt>
                <c:pt idx="309">
                  <c:v>23.9530966331323</c:v>
                </c:pt>
                <c:pt idx="310">
                  <c:v>22.4529698570962</c:v>
                </c:pt>
                <c:pt idx="311">
                  <c:v>19.5792578332661</c:v>
                </c:pt>
                <c:pt idx="312">
                  <c:v>15.5227789008603</c:v>
                </c:pt>
                <c:pt idx="313">
                  <c:v>10.5482183743598</c:v>
                </c:pt>
                <c:pt idx="314">
                  <c:v>4.96212693955202</c:v>
                </c:pt>
                <c:pt idx="315">
                  <c:v>-0.90626038035915</c:v>
                </c:pt>
                <c:pt idx="316">
                  <c:v>-6.71562961687515</c:v>
                </c:pt>
                <c:pt idx="317">
                  <c:v>-12.1234810755551</c:v>
                </c:pt>
                <c:pt idx="318">
                  <c:v>-16.8045834104337</c:v>
                </c:pt>
                <c:pt idx="319">
                  <c:v>-20.4792984917006</c:v>
                </c:pt>
                <c:pt idx="320">
                  <c:v>-22.9469293402715</c:v>
                </c:pt>
                <c:pt idx="321">
                  <c:v>-24.1119779168158</c:v>
                </c:pt>
                <c:pt idx="322">
                  <c:v>-23.9895175604986</c:v>
                </c:pt>
                <c:pt idx="323">
                  <c:v>-22.6848765450949</c:v>
                </c:pt>
                <c:pt idx="324">
                  <c:v>-20.3573884105011</c:v>
                </c:pt>
                <c:pt idx="325">
                  <c:v>-17.1849959511475</c:v>
                </c:pt>
                <c:pt idx="326">
                  <c:v>-13.3411749927021</c:v>
                </c:pt>
                <c:pt idx="327">
                  <c:v>-8.98605571783275</c:v>
                </c:pt>
                <c:pt idx="328">
                  <c:v>-4.26820958451271</c:v>
                </c:pt>
                <c:pt idx="329">
                  <c:v>0.66676284651907</c:v>
                </c:pt>
                <c:pt idx="330">
                  <c:v>5.66324924525081</c:v>
                </c:pt>
                <c:pt idx="331">
                  <c:v>10.540157608324</c:v>
                </c:pt>
                <c:pt idx="332">
                  <c:v>15.0763962816029</c:v>
                </c:pt>
                <c:pt idx="333">
                  <c:v>19.0041500107227</c:v>
                </c:pt>
                <c:pt idx="334">
                  <c:v>22.0205547905547</c:v>
                </c:pt>
                <c:pt idx="335">
                  <c:v>23.8278524739041</c:v>
                </c:pt>
                <c:pt idx="336">
                  <c:v>24.1998859233703</c:v>
                </c:pt>
                <c:pt idx="337">
                  <c:v>23.0488833272055</c:v>
                </c:pt>
                <c:pt idx="338">
                  <c:v>20.4529614006158</c:v>
                </c:pt>
                <c:pt idx="339">
                  <c:v>16.6274147660218</c:v>
                </c:pt>
                <c:pt idx="340">
                  <c:v>11.8640326849205</c:v>
                </c:pt>
                <c:pt idx="341">
                  <c:v>6.47711112694612</c:v>
                </c:pt>
                <c:pt idx="342">
                  <c:v>0.775890890691969</c:v>
                </c:pt>
                <c:pt idx="343">
                  <c:v>-4.93999805935463</c:v>
                </c:pt>
                <c:pt idx="344">
                  <c:v>-10.3755031337479</c:v>
                </c:pt>
                <c:pt idx="345">
                  <c:v>-15.2386657738877</c:v>
                </c:pt>
                <c:pt idx="346">
                  <c:v>-19.2516775890298</c:v>
                </c:pt>
                <c:pt idx="347">
                  <c:v>-22.1772674525214</c:v>
                </c:pt>
                <c:pt idx="348">
                  <c:v>-23.8541976464509</c:v>
                </c:pt>
                <c:pt idx="349">
                  <c:v>-24.2261173230146</c:v>
                </c:pt>
                <c:pt idx="350">
                  <c:v>-23.3464250500205</c:v>
                </c:pt>
                <c:pt idx="351">
                  <c:v>-21.3543307547196</c:v>
                </c:pt>
                <c:pt idx="352">
                  <c:v>-18.4349943433083</c:v>
                </c:pt>
                <c:pt idx="353">
                  <c:v>-14.7828788456904</c:v>
                </c:pt>
                <c:pt idx="354">
                  <c:v>-10.5795959047956</c:v>
                </c:pt>
                <c:pt idx="355">
                  <c:v>-5.98690756456931</c:v>
                </c:pt>
                <c:pt idx="356">
                  <c:v>-1.15068974324941</c:v>
                </c:pt>
                <c:pt idx="357">
                  <c:v>3.78790940375221</c:v>
                </c:pt>
                <c:pt idx="358">
                  <c:v>8.67613389322871</c:v>
                </c:pt>
                <c:pt idx="359">
                  <c:v>13.3299638831482</c:v>
                </c:pt>
                <c:pt idx="360">
                  <c:v>17.5157007583542</c:v>
                </c:pt>
                <c:pt idx="361">
                  <c:v>20.942914999965</c:v>
                </c:pt>
                <c:pt idx="362">
                  <c:v>23.284551723399</c:v>
                </c:pt>
                <c:pt idx="363">
                  <c:v>24.2370332679463</c:v>
                </c:pt>
                <c:pt idx="364">
                  <c:v>23.6099954106842</c:v>
                </c:pt>
                <c:pt idx="365">
                  <c:v>21.3998844408846</c:v>
                </c:pt>
              </c:numCache>
            </c:numRef>
          </c:yVal>
          <c:smooth val="0"/>
        </c:ser>
        <c:axId val="97639926"/>
        <c:axId val="28303161"/>
      </c:scatterChart>
      <c:valAx>
        <c:axId val="97639926"/>
        <c:scaling>
          <c:orientation val="minMax"/>
          <c:max val="366"/>
          <c:min val="1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85423489696176"/>
              <c:y val="0.442125094197438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8303161"/>
        <c:crosses val="autoZero"/>
        <c:crossBetween val="midCat"/>
        <c:majorUnit val="30"/>
      </c:valAx>
      <c:valAx>
        <c:axId val="28303161"/>
        <c:scaling>
          <c:orientation val="minMax"/>
          <c:max val="25"/>
          <c:min val="-25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200" spc="-1" strike="noStrike">
                    <a:solidFill>
                      <a:srgbClr val="000000"/>
                    </a:solidFill>
                    <a:latin typeface="Calibri"/>
                  </a:rPr>
                  <a:t>DEC</a:t>
                </a:r>
              </a:p>
            </c:rich>
          </c:tx>
          <c:layout>
            <c:manualLayout>
              <c:xMode val="edge"/>
              <c:yMode val="edge"/>
              <c:x val="0.0873179825666348"/>
              <c:y val="0.183044461190656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7639926"/>
        <c:crosses val="autoZero"/>
        <c:crossBetween val="midCat"/>
        <c:majorUnit val="5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5305556980861"/>
          <c:y val="0.041994459833795"/>
          <c:w val="0.912976550874853"/>
          <c:h val="0.85695290858725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ff00ff"/>
            </a:solidFill>
            <a:ln w="144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distance__declin__RA!$E$2:$E$367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distance__declin__RA!$I$2:$I$367</c:f>
              <c:numCache>
                <c:formatCode>General</c:formatCode>
                <c:ptCount val="366"/>
                <c:pt idx="0">
                  <c:v>254.110108483674</c:v>
                </c:pt>
                <c:pt idx="1">
                  <c:v>270.700498014103</c:v>
                </c:pt>
                <c:pt idx="2">
                  <c:v>287.586964293513</c:v>
                </c:pt>
                <c:pt idx="3">
                  <c:v>304.048542723141</c:v>
                </c:pt>
                <c:pt idx="4">
                  <c:v>319.526361651873</c:v>
                </c:pt>
                <c:pt idx="5">
                  <c:v>333.793266203309</c:v>
                </c:pt>
                <c:pt idx="6">
                  <c:v>346.915303555453</c:v>
                </c:pt>
                <c:pt idx="7">
                  <c:v>359.123662229648</c:v>
                </c:pt>
                <c:pt idx="8">
                  <c:v>10.7086305325036</c:v>
                </c:pt>
                <c:pt idx="9">
                  <c:v>21.9624381127687</c:v>
                </c:pt>
                <c:pt idx="10">
                  <c:v>33.1547709500072</c:v>
                </c:pt>
                <c:pt idx="11">
                  <c:v>44.5205807963364</c:v>
                </c:pt>
                <c:pt idx="12">
                  <c:v>56.2467978713556</c:v>
                </c:pt>
                <c:pt idx="13">
                  <c:v>68.4519019909005</c:v>
                </c:pt>
                <c:pt idx="14">
                  <c:v>81.160413520198</c:v>
                </c:pt>
                <c:pt idx="15">
                  <c:v>94.2846543936614</c:v>
                </c:pt>
                <c:pt idx="16">
                  <c:v>107.633522462562</c:v>
                </c:pt>
                <c:pt idx="17">
                  <c:v>120.960545295599</c:v>
                </c:pt>
                <c:pt idx="18">
                  <c:v>134.038149918804</c:v>
                </c:pt>
                <c:pt idx="19">
                  <c:v>146.72369768053</c:v>
                </c:pt>
                <c:pt idx="20">
                  <c:v>158.990041033569</c:v>
                </c:pt>
                <c:pt idx="21">
                  <c:v>170.920398856649</c:v>
                </c:pt>
                <c:pt idx="22">
                  <c:v>182.685386748393</c:v>
                </c:pt>
                <c:pt idx="23">
                  <c:v>194.518505130596</c:v>
                </c:pt>
                <c:pt idx="24">
                  <c:v>206.695015674415</c:v>
                </c:pt>
                <c:pt idx="25">
                  <c:v>219.50762396824</c:v>
                </c:pt>
                <c:pt idx="26">
                  <c:v>233.223461839151</c:v>
                </c:pt>
                <c:pt idx="27">
                  <c:v>248.004458343467</c:v>
                </c:pt>
                <c:pt idx="28">
                  <c:v>263.793371694431</c:v>
                </c:pt>
                <c:pt idx="29">
                  <c:v>280.228036997755</c:v>
                </c:pt>
                <c:pt idx="30">
                  <c:v>296.699054852822</c:v>
                </c:pt>
                <c:pt idx="31">
                  <c:v>312.580229833328</c:v>
                </c:pt>
                <c:pt idx="32">
                  <c:v>327.469678099152</c:v>
                </c:pt>
                <c:pt idx="33">
                  <c:v>341.266516958026</c:v>
                </c:pt>
                <c:pt idx="34">
                  <c:v>354.095485261118</c:v>
                </c:pt>
                <c:pt idx="35">
                  <c:v>6.19464393747999</c:v>
                </c:pt>
                <c:pt idx="36">
                  <c:v>17.8358886177915</c:v>
                </c:pt>
                <c:pt idx="37">
                  <c:v>29.2845017138244</c:v>
                </c:pt>
                <c:pt idx="38">
                  <c:v>40.7804080500677</c:v>
                </c:pt>
                <c:pt idx="39">
                  <c:v>52.5246947778272</c:v>
                </c:pt>
                <c:pt idx="40">
                  <c:v>64.66195824747</c:v>
                </c:pt>
                <c:pt idx="41">
                  <c:v>77.2570277947133</c:v>
                </c:pt>
                <c:pt idx="42">
                  <c:v>90.2739909310227</c:v>
                </c:pt>
                <c:pt idx="43">
                  <c:v>103.573822918848</c:v>
                </c:pt>
                <c:pt idx="44">
                  <c:v>116.945531602997</c:v>
                </c:pt>
                <c:pt idx="45">
                  <c:v>130.167867061448</c:v>
                </c:pt>
                <c:pt idx="46">
                  <c:v>143.075875029064</c:v>
                </c:pt>
                <c:pt idx="47">
                  <c:v>155.60278914907</c:v>
                </c:pt>
                <c:pt idx="48">
                  <c:v>167.787267732272</c:v>
                </c:pt>
                <c:pt idx="49">
                  <c:v>179.75697991422</c:v>
                </c:pt>
                <c:pt idx="50">
                  <c:v>191.704799363608</c:v>
                </c:pt>
                <c:pt idx="51">
                  <c:v>203.866331652393</c:v>
                </c:pt>
                <c:pt idx="52">
                  <c:v>216.497005983847</c:v>
                </c:pt>
                <c:pt idx="53">
                  <c:v>229.838575612381</c:v>
                </c:pt>
                <c:pt idx="54">
                  <c:v>244.061501251768</c:v>
                </c:pt>
                <c:pt idx="55">
                  <c:v>259.180025951895</c:v>
                </c:pt>
                <c:pt idx="56">
                  <c:v>274.973135718839</c:v>
                </c:pt>
                <c:pt idx="57">
                  <c:v>290.989406257861</c:v>
                </c:pt>
                <c:pt idx="58">
                  <c:v>306.688384598896</c:v>
                </c:pt>
                <c:pt idx="59">
                  <c:v>321.644918972422</c:v>
                </c:pt>
                <c:pt idx="60">
                  <c:v>335.670310493648</c:v>
                </c:pt>
                <c:pt idx="61">
                  <c:v>348.79879693363</c:v>
                </c:pt>
                <c:pt idx="62">
                  <c:v>1.20420669884434</c:v>
                </c:pt>
                <c:pt idx="63">
                  <c:v>13.1202407580486</c:v>
                </c:pt>
                <c:pt idx="64">
                  <c:v>24.7905380718395</c:v>
                </c:pt>
                <c:pt idx="65">
                  <c:v>36.4425115790016</c:v>
                </c:pt>
                <c:pt idx="66">
                  <c:v>48.2712002284117</c:v>
                </c:pt>
                <c:pt idx="67">
                  <c:v>60.4227484833795</c:v>
                </c:pt>
                <c:pt idx="68">
                  <c:v>72.9739375562096</c:v>
                </c:pt>
                <c:pt idx="69">
                  <c:v>85.9127983920139</c:v>
                </c:pt>
                <c:pt idx="70">
                  <c:v>99.1334113826581</c:v>
                </c:pt>
                <c:pt idx="71">
                  <c:v>112.458586523228</c:v>
                </c:pt>
                <c:pt idx="72">
                  <c:v>125.690931364372</c:v>
                </c:pt>
                <c:pt idx="73">
                  <c:v>138.673051614335</c:v>
                </c:pt>
                <c:pt idx="74">
                  <c:v>151.330710499802</c:v>
                </c:pt>
                <c:pt idx="75">
                  <c:v>163.68625180975</c:v>
                </c:pt>
                <c:pt idx="76">
                  <c:v>175.848275129874</c:v>
                </c:pt>
                <c:pt idx="77">
                  <c:v>187.990872830665</c:v>
                </c:pt>
                <c:pt idx="78">
                  <c:v>200.330990793477</c:v>
                </c:pt>
                <c:pt idx="79">
                  <c:v>213.103568801634</c:v>
                </c:pt>
                <c:pt idx="80">
                  <c:v>226.526726914493</c:v>
                </c:pt>
                <c:pt idx="81">
                  <c:v>240.747033996116</c:v>
                </c:pt>
                <c:pt idx="82">
                  <c:v>255.765077287919</c:v>
                </c:pt>
                <c:pt idx="83">
                  <c:v>271.371952603919</c:v>
                </c:pt>
                <c:pt idx="84">
                  <c:v>287.160033455115</c:v>
                </c:pt>
                <c:pt idx="85">
                  <c:v>302.646094930967</c:v>
                </c:pt>
                <c:pt idx="86">
                  <c:v>317.445132689578</c:v>
                </c:pt>
                <c:pt idx="87">
                  <c:v>331.377583862207</c:v>
                </c:pt>
                <c:pt idx="88">
                  <c:v>344.464798688783</c:v>
                </c:pt>
                <c:pt idx="89">
                  <c:v>356.861012965813</c:v>
                </c:pt>
                <c:pt idx="90">
                  <c:v>8.7828142588682</c:v>
                </c:pt>
                <c:pt idx="91">
                  <c:v>20.4615512587063</c:v>
                </c:pt>
                <c:pt idx="92">
                  <c:v>32.1163738146638</c:v>
                </c:pt>
                <c:pt idx="93">
                  <c:v>43.9370383617116</c:v>
                </c:pt>
                <c:pt idx="94">
                  <c:v>56.067182066599</c:v>
                </c:pt>
                <c:pt idx="95">
                  <c:v>68.5842045052651</c:v>
                </c:pt>
                <c:pt idx="96">
                  <c:v>81.4797866960383</c:v>
                </c:pt>
                <c:pt idx="97">
                  <c:v>94.6533530970824</c:v>
                </c:pt>
                <c:pt idx="98">
                  <c:v>107.932517221347</c:v>
                </c:pt>
                <c:pt idx="99">
                  <c:v>121.122486039661</c:v>
                </c:pt>
                <c:pt idx="100">
                  <c:v>134.066277404319</c:v>
                </c:pt>
                <c:pt idx="101">
                  <c:v>146.689110710144</c:v>
                </c:pt>
                <c:pt idx="102">
                  <c:v>159.013071242172</c:v>
                </c:pt>
                <c:pt idx="103">
                  <c:v>171.147657562372</c:v>
                </c:pt>
                <c:pt idx="104">
                  <c:v>183.270105603959</c:v>
                </c:pt>
                <c:pt idx="105">
                  <c:v>195.604594095415</c:v>
                </c:pt>
                <c:pt idx="106">
                  <c:v>208.399624676498</c:v>
                </c:pt>
                <c:pt idx="107">
                  <c:v>221.894062797899</c:v>
                </c:pt>
                <c:pt idx="108">
                  <c:v>236.258338557888</c:v>
                </c:pt>
                <c:pt idx="109">
                  <c:v>251.507175645699</c:v>
                </c:pt>
                <c:pt idx="110">
                  <c:v>267.417084185053</c:v>
                </c:pt>
                <c:pt idx="111">
                  <c:v>283.528865415265</c:v>
                </c:pt>
                <c:pt idx="112">
                  <c:v>299.291149830494</c:v>
                </c:pt>
                <c:pt idx="113">
                  <c:v>314.270405930619</c:v>
                </c:pt>
                <c:pt idx="114">
                  <c:v>328.275750565252</c:v>
                </c:pt>
                <c:pt idx="115">
                  <c:v>341.344643471525</c:v>
                </c:pt>
                <c:pt idx="116">
                  <c:v>353.656803804972</c:v>
                </c:pt>
                <c:pt idx="117">
                  <c:v>5.452354675744</c:v>
                </c:pt>
                <c:pt idx="118">
                  <c:v>16.9809704557196</c:v>
                </c:pt>
                <c:pt idx="119">
                  <c:v>28.4758783857856</c:v>
                </c:pt>
                <c:pt idx="120">
                  <c:v>40.1388352426886</c:v>
                </c:pt>
                <c:pt idx="121">
                  <c:v>52.1252262776546</c:v>
                </c:pt>
                <c:pt idx="122">
                  <c:v>64.5242960401456</c:v>
                </c:pt>
                <c:pt idx="123">
                  <c:v>77.3374165346907</c:v>
                </c:pt>
                <c:pt idx="124">
                  <c:v>90.4666313560617</c:v>
                </c:pt>
                <c:pt idx="125">
                  <c:v>103.73020608436</c:v>
                </c:pt>
                <c:pt idx="126">
                  <c:v>116.91182901393</c:v>
                </c:pt>
                <c:pt idx="127">
                  <c:v>129.827285043391</c:v>
                </c:pt>
                <c:pt idx="128">
                  <c:v>142.378084796493</c:v>
                </c:pt>
                <c:pt idx="129">
                  <c:v>154.572207374818</c:v>
                </c:pt>
                <c:pt idx="130">
                  <c:v>166.515429172719</c:v>
                </c:pt>
                <c:pt idx="131">
                  <c:v>178.389594933219</c:v>
                </c:pt>
                <c:pt idx="132">
                  <c:v>190.430944954622</c:v>
                </c:pt>
                <c:pt idx="133">
                  <c:v>202.910867317757</c:v>
                </c:pt>
                <c:pt idx="134">
                  <c:v>216.110356076695</c:v>
                </c:pt>
                <c:pt idx="135">
                  <c:v>230.270546976054</c:v>
                </c:pt>
                <c:pt idx="136">
                  <c:v>245.501875840923</c:v>
                </c:pt>
                <c:pt idx="137">
                  <c:v>261.66442917198</c:v>
                </c:pt>
                <c:pt idx="138">
                  <c:v>278.303596268365</c:v>
                </c:pt>
                <c:pt idx="139">
                  <c:v>294.759495027938</c:v>
                </c:pt>
                <c:pt idx="140">
                  <c:v>310.432415442464</c:v>
                </c:pt>
                <c:pt idx="141">
                  <c:v>325.000586646372</c:v>
                </c:pt>
                <c:pt idx="142">
                  <c:v>338.446844050266</c:v>
                </c:pt>
                <c:pt idx="143">
                  <c:v>350.955199348668</c:v>
                </c:pt>
                <c:pt idx="144">
                  <c:v>2.79702963079561</c:v>
                </c:pt>
                <c:pt idx="145">
                  <c:v>14.2591932471578</c:v>
                </c:pt>
                <c:pt idx="146">
                  <c:v>25.6096678110159</c:v>
                </c:pt>
                <c:pt idx="147">
                  <c:v>37.081508655999</c:v>
                </c:pt>
                <c:pt idx="148">
                  <c:v>48.8598168581325</c:v>
                </c:pt>
                <c:pt idx="149">
                  <c:v>61.0636406182243</c:v>
                </c:pt>
                <c:pt idx="150">
                  <c:v>73.7229858340399</c:v>
                </c:pt>
                <c:pt idx="151">
                  <c:v>86.7612755356781</c:v>
                </c:pt>
                <c:pt idx="152">
                  <c:v>100.001518707308</c:v>
                </c:pt>
                <c:pt idx="153">
                  <c:v>113.209246301896</c:v>
                </c:pt>
                <c:pt idx="154">
                  <c:v>126.162598982382</c:v>
                </c:pt>
                <c:pt idx="155">
                  <c:v>138.718088422478</c:v>
                </c:pt>
                <c:pt idx="156">
                  <c:v>150.844110404544</c:v>
                </c:pt>
                <c:pt idx="157">
                  <c:v>162.61901745386</c:v>
                </c:pt>
                <c:pt idx="158">
                  <c:v>174.209815827566</c:v>
                </c:pt>
                <c:pt idx="159">
                  <c:v>185.848480708667</c:v>
                </c:pt>
                <c:pt idx="160">
                  <c:v>197.813002887623</c:v>
                </c:pt>
                <c:pt idx="161">
                  <c:v>210.40896031938</c:v>
                </c:pt>
                <c:pt idx="162">
                  <c:v>223.936897864936</c:v>
                </c:pt>
                <c:pt idx="163">
                  <c:v>238.622500678047</c:v>
                </c:pt>
                <c:pt idx="164">
                  <c:v>254.494768251541</c:v>
                </c:pt>
                <c:pt idx="165">
                  <c:v>271.253947896393</c:v>
                </c:pt>
                <c:pt idx="166">
                  <c:v>288.263811094002</c:v>
                </c:pt>
                <c:pt idx="167">
                  <c:v>304.774645760709</c:v>
                </c:pt>
                <c:pt idx="168">
                  <c:v>320.241451958145</c:v>
                </c:pt>
                <c:pt idx="169">
                  <c:v>334.476548737772</c:v>
                </c:pt>
                <c:pt idx="170">
                  <c:v>347.585572791751</c:v>
                </c:pt>
                <c:pt idx="171">
                  <c:v>359.82767894416</c:v>
                </c:pt>
                <c:pt idx="172">
                  <c:v>11.509197615939</c:v>
                </c:pt>
                <c:pt idx="173">
                  <c:v>22.9288233480402</c:v>
                </c:pt>
                <c:pt idx="174">
                  <c:v>34.3536985709657</c:v>
                </c:pt>
                <c:pt idx="175">
                  <c:v>46.005173436629</c:v>
                </c:pt>
                <c:pt idx="176">
                  <c:v>58.041750760963</c:v>
                </c:pt>
                <c:pt idx="177">
                  <c:v>70.5359128154693</c:v>
                </c:pt>
                <c:pt idx="178">
                  <c:v>83.4519162629792</c:v>
                </c:pt>
                <c:pt idx="179">
                  <c:v>96.6417097267979</c:v>
                </c:pt>
                <c:pt idx="180">
                  <c:v>109.876420192007</c:v>
                </c:pt>
                <c:pt idx="181">
                  <c:v>122.912316769905</c:v>
                </c:pt>
                <c:pt idx="182">
                  <c:v>135.563943410146</c:v>
                </c:pt>
                <c:pt idx="183">
                  <c:v>147.75108790711</c:v>
                </c:pt>
                <c:pt idx="184">
                  <c:v>159.507644196934</c:v>
                </c:pt>
                <c:pt idx="185">
                  <c:v>170.964722411962</c:v>
                </c:pt>
                <c:pt idx="186">
                  <c:v>182.326947557237</c:v>
                </c:pt>
                <c:pt idx="187">
                  <c:v>193.853009152779</c:v>
                </c:pt>
                <c:pt idx="188">
                  <c:v>205.840512568388</c:v>
                </c:pt>
                <c:pt idx="189">
                  <c:v>218.605523316023</c:v>
                </c:pt>
                <c:pt idx="190">
                  <c:v>232.438035966371</c:v>
                </c:pt>
                <c:pt idx="191">
                  <c:v>247.51033404912</c:v>
                </c:pt>
                <c:pt idx="192">
                  <c:v>263.738852276612</c:v>
                </c:pt>
                <c:pt idx="193">
                  <c:v>280.680040702674</c:v>
                </c:pt>
                <c:pt idx="194">
                  <c:v>297.611990571216</c:v>
                </c:pt>
                <c:pt idx="195">
                  <c:v>313.82869923452</c:v>
                </c:pt>
                <c:pt idx="196">
                  <c:v>328.919185709624</c:v>
                </c:pt>
                <c:pt idx="197">
                  <c:v>342.823978670174</c:v>
                </c:pt>
                <c:pt idx="198">
                  <c:v>355.721143542856</c:v>
                </c:pt>
                <c:pt idx="199">
                  <c:v>7.89254307560747</c:v>
                </c:pt>
                <c:pt idx="200">
                  <c:v>19.6399719965999</c:v>
                </c:pt>
                <c:pt idx="201">
                  <c:v>31.2459713293146</c:v>
                </c:pt>
                <c:pt idx="202">
                  <c:v>42.9550321179405</c:v>
                </c:pt>
                <c:pt idx="203">
                  <c:v>54.9569633275719</c:v>
                </c:pt>
                <c:pt idx="204">
                  <c:v>67.3645895089691</c:v>
                </c:pt>
                <c:pt idx="205">
                  <c:v>80.1889970001781</c:v>
                </c:pt>
                <c:pt idx="206">
                  <c:v>93.3267939754243</c:v>
                </c:pt>
                <c:pt idx="207">
                  <c:v>106.578450170629</c:v>
                </c:pt>
                <c:pt idx="208">
                  <c:v>119.704107711117</c:v>
                </c:pt>
                <c:pt idx="209">
                  <c:v>132.496977306046</c:v>
                </c:pt>
                <c:pt idx="210">
                  <c:v>144.840001490854</c:v>
                </c:pt>
                <c:pt idx="211">
                  <c:v>156.725788193158</c:v>
                </c:pt>
                <c:pt idx="212">
                  <c:v>168.245934127354</c:v>
                </c:pt>
                <c:pt idx="213">
                  <c:v>179.568390838166</c:v>
                </c:pt>
                <c:pt idx="214">
                  <c:v>190.917026267339</c:v>
                </c:pt>
                <c:pt idx="215">
                  <c:v>202.557003857461</c:v>
                </c:pt>
                <c:pt idx="216">
                  <c:v>214.780303273525</c:v>
                </c:pt>
                <c:pt idx="217">
                  <c:v>227.877888261346</c:v>
                </c:pt>
                <c:pt idx="218">
                  <c:v>242.079005245646</c:v>
                </c:pt>
                <c:pt idx="219">
                  <c:v>257.444742909645</c:v>
                </c:pt>
                <c:pt idx="220">
                  <c:v>273.747436094843</c:v>
                </c:pt>
                <c:pt idx="221">
                  <c:v>290.445156841351</c:v>
                </c:pt>
                <c:pt idx="222">
                  <c:v>306.853897815199</c:v>
                </c:pt>
                <c:pt idx="223">
                  <c:v>322.431116881861</c:v>
                </c:pt>
                <c:pt idx="224">
                  <c:v>336.944938029614</c:v>
                </c:pt>
                <c:pt idx="225">
                  <c:v>350.44660417432</c:v>
                </c:pt>
                <c:pt idx="226">
                  <c:v>3.15059811077567</c:v>
                </c:pt>
                <c:pt idx="227">
                  <c:v>15.3303906944736</c:v>
                </c:pt>
                <c:pt idx="228">
                  <c:v>27.2594525297026</c:v>
                </c:pt>
                <c:pt idx="229">
                  <c:v>39.1830696293714</c:v>
                </c:pt>
                <c:pt idx="230">
                  <c:v>51.300584850609</c:v>
                </c:pt>
                <c:pt idx="231">
                  <c:v>63.7454924029527</c:v>
                </c:pt>
                <c:pt idx="232">
                  <c:v>76.5617744578643</c:v>
                </c:pt>
                <c:pt idx="233">
                  <c:v>89.6867886707443</c:v>
                </c:pt>
                <c:pt idx="234">
                  <c:v>102.958718187936</c:v>
                </c:pt>
                <c:pt idx="235">
                  <c:v>116.159859014975</c:v>
                </c:pt>
                <c:pt idx="236">
                  <c:v>129.0841104635</c:v>
                </c:pt>
                <c:pt idx="237">
                  <c:v>141.597677431579</c:v>
                </c:pt>
                <c:pt idx="238">
                  <c:v>153.667982390958</c:v>
                </c:pt>
                <c:pt idx="239">
                  <c:v>165.359817780899</c:v>
                </c:pt>
                <c:pt idx="240">
                  <c:v>176.814605593166</c:v>
                </c:pt>
                <c:pt idx="241">
                  <c:v>188.22834653775</c:v>
                </c:pt>
                <c:pt idx="242">
                  <c:v>199.834687606036</c:v>
                </c:pt>
                <c:pt idx="243">
                  <c:v>211.890416366087</c:v>
                </c:pt>
                <c:pt idx="244">
                  <c:v>224.653747851571</c:v>
                </c:pt>
                <c:pt idx="245">
                  <c:v>238.340926073681</c:v>
                </c:pt>
                <c:pt idx="246">
                  <c:v>253.049416812533</c:v>
                </c:pt>
                <c:pt idx="247">
                  <c:v>268.661521278353</c:v>
                </c:pt>
                <c:pt idx="248">
                  <c:v>284.795427609297</c:v>
                </c:pt>
                <c:pt idx="249">
                  <c:v>300.892359589392</c:v>
                </c:pt>
                <c:pt idx="250">
                  <c:v>316.428192535921</c:v>
                </c:pt>
                <c:pt idx="251">
                  <c:v>331.099006267859</c:v>
                </c:pt>
                <c:pt idx="252">
                  <c:v>344.861093257388</c:v>
                </c:pt>
                <c:pt idx="253">
                  <c:v>357.856653549623</c:v>
                </c:pt>
                <c:pt idx="254">
                  <c:v>10.3172836367548</c:v>
                </c:pt>
                <c:pt idx="255">
                  <c:v>22.4952389797817</c:v>
                </c:pt>
                <c:pt idx="256">
                  <c:v>34.6249774009573</c:v>
                </c:pt>
                <c:pt idx="257">
                  <c:v>46.9005220883827</c:v>
                </c:pt>
                <c:pt idx="258">
                  <c:v>59.4558350649156</c:v>
                </c:pt>
                <c:pt idx="259">
                  <c:v>72.3436531201126</c:v>
                </c:pt>
                <c:pt idx="260">
                  <c:v>85.5189918771833</c:v>
                </c:pt>
                <c:pt idx="261">
                  <c:v>98.8422249008419</c:v>
                </c:pt>
                <c:pt idx="262">
                  <c:v>112.114035104534</c:v>
                </c:pt>
                <c:pt idx="263">
                  <c:v>125.136098496068</c:v>
                </c:pt>
                <c:pt idx="264">
                  <c:v>137.771282194098</c:v>
                </c:pt>
                <c:pt idx="265">
                  <c:v>149.977367371129</c:v>
                </c:pt>
                <c:pt idx="266">
                  <c:v>161.808534523616</c:v>
                </c:pt>
                <c:pt idx="267">
                  <c:v>173.397135600254</c:v>
                </c:pt>
                <c:pt idx="268">
                  <c:v>184.931133628992</c:v>
                </c:pt>
                <c:pt idx="269">
                  <c:v>196.634930197317</c:v>
                </c:pt>
                <c:pt idx="270">
                  <c:v>208.752223333523</c:v>
                </c:pt>
                <c:pt idx="271">
                  <c:v>221.522697862593</c:v>
                </c:pt>
                <c:pt idx="272">
                  <c:v>235.14050153453</c:v>
                </c:pt>
                <c:pt idx="273">
                  <c:v>249.686218060591</c:v>
                </c:pt>
                <c:pt idx="274">
                  <c:v>265.04651879647</c:v>
                </c:pt>
                <c:pt idx="275">
                  <c:v>280.877448854857</c:v>
                </c:pt>
                <c:pt idx="276">
                  <c:v>296.680714274793</c:v>
                </c:pt>
                <c:pt idx="277">
                  <c:v>311.982425881799</c:v>
                </c:pt>
                <c:pt idx="278">
                  <c:v>326.495221660521</c:v>
                </c:pt>
                <c:pt idx="279">
                  <c:v>340.163423684282</c:v>
                </c:pt>
                <c:pt idx="280">
                  <c:v>353.10769458722</c:v>
                </c:pt>
                <c:pt idx="281">
                  <c:v>5.54221857585606</c:v>
                </c:pt>
                <c:pt idx="282">
                  <c:v>17.7100783018592</c:v>
                </c:pt>
                <c:pt idx="283">
                  <c:v>29.8432642304067</c:v>
                </c:pt>
                <c:pt idx="284">
                  <c:v>42.1369197730979</c:v>
                </c:pt>
                <c:pt idx="285">
                  <c:v>54.7271489756371</c:v>
                </c:pt>
                <c:pt idx="286">
                  <c:v>67.6683484813906</c:v>
                </c:pt>
                <c:pt idx="287">
                  <c:v>80.9156741195304</c:v>
                </c:pt>
                <c:pt idx="288">
                  <c:v>94.3267722439209</c:v>
                </c:pt>
                <c:pt idx="289">
                  <c:v>107.69541266281</c:v>
                </c:pt>
                <c:pt idx="290">
                  <c:v>120.812444594065</c:v>
                </c:pt>
                <c:pt idx="291">
                  <c:v>133.528675436018</c:v>
                </c:pt>
                <c:pt idx="292">
                  <c:v>145.792284947901</c:v>
                </c:pt>
                <c:pt idx="293">
                  <c:v>157.652818639795</c:v>
                </c:pt>
                <c:pt idx="294">
                  <c:v>169.243492071802</c:v>
                </c:pt>
                <c:pt idx="295">
                  <c:v>180.758014194912</c:v>
                </c:pt>
                <c:pt idx="296">
                  <c:v>192.430911340855</c:v>
                </c:pt>
                <c:pt idx="297">
                  <c:v>204.520676866766</c:v>
                </c:pt>
                <c:pt idx="298">
                  <c:v>217.28707788124</c:v>
                </c:pt>
                <c:pt idx="299">
                  <c:v>230.948385824038</c:v>
                </c:pt>
                <c:pt idx="300">
                  <c:v>245.606302087663</c:v>
                </c:pt>
                <c:pt idx="301">
                  <c:v>261.150499477269</c:v>
                </c:pt>
                <c:pt idx="302">
                  <c:v>277.206951427757</c:v>
                </c:pt>
                <c:pt idx="303">
                  <c:v>293.219048272001</c:v>
                </c:pt>
                <c:pt idx="304">
                  <c:v>308.656141500592</c:v>
                </c:pt>
                <c:pt idx="305">
                  <c:v>323.203393153167</c:v>
                </c:pt>
                <c:pt idx="306">
                  <c:v>336.809038488584</c:v>
                </c:pt>
                <c:pt idx="307">
                  <c:v>349.6144109947</c:v>
                </c:pt>
                <c:pt idx="308">
                  <c:v>1.85820606292696</c:v>
                </c:pt>
                <c:pt idx="309">
                  <c:v>13.8068911175903</c:v>
                </c:pt>
                <c:pt idx="310">
                  <c:v>25.7149752544857</c:v>
                </c:pt>
                <c:pt idx="311">
                  <c:v>37.8008432357286</c:v>
                </c:pt>
                <c:pt idx="312">
                  <c:v>50.22482089969</c:v>
                </c:pt>
                <c:pt idx="313">
                  <c:v>63.0637445672143</c:v>
                </c:pt>
                <c:pt idx="314">
                  <c:v>76.2871141416724</c:v>
                </c:pt>
                <c:pt idx="315">
                  <c:v>89.7510226133083</c:v>
                </c:pt>
                <c:pt idx="316">
                  <c:v>103.227762015525</c:v>
                </c:pt>
                <c:pt idx="317">
                  <c:v>116.471336946972</c:v>
                </c:pt>
                <c:pt idx="318">
                  <c:v>129.29200482777</c:v>
                </c:pt>
                <c:pt idx="319">
                  <c:v>141.605105408786</c:v>
                </c:pt>
                <c:pt idx="320">
                  <c:v>153.440417100455</c:v>
                </c:pt>
                <c:pt idx="321">
                  <c:v>164.923901377966</c:v>
                </c:pt>
                <c:pt idx="322">
                  <c:v>176.251625229067</c:v>
                </c:pt>
                <c:pt idx="323">
                  <c:v>187.668259631956</c:v>
                </c:pt>
                <c:pt idx="324">
                  <c:v>199.451728612923</c:v>
                </c:pt>
                <c:pt idx="325">
                  <c:v>211.896609224826</c:v>
                </c:pt>
                <c:pt idx="326">
                  <c:v>225.28095361124</c:v>
                </c:pt>
                <c:pt idx="327">
                  <c:v>239.796099700691</c:v>
                </c:pt>
                <c:pt idx="328">
                  <c:v>255.431956307214</c:v>
                </c:pt>
                <c:pt idx="329">
                  <c:v>271.867129152167</c:v>
                </c:pt>
                <c:pt idx="330">
                  <c:v>288.487953699413</c:v>
                </c:pt>
                <c:pt idx="331">
                  <c:v>304.609492467914</c:v>
                </c:pt>
                <c:pt idx="332">
                  <c:v>319.756091983764</c:v>
                </c:pt>
                <c:pt idx="333">
                  <c:v>333.782159069751</c:v>
                </c:pt>
                <c:pt idx="334">
                  <c:v>346.807194578788</c:v>
                </c:pt>
                <c:pt idx="335">
                  <c:v>359.089980105209</c:v>
                </c:pt>
                <c:pt idx="336">
                  <c:v>10.9328235780158</c:v>
                </c:pt>
                <c:pt idx="337">
                  <c:v>22.6298387422351</c:v>
                </c:pt>
                <c:pt idx="338">
                  <c:v>34.4406406545456</c:v>
                </c:pt>
                <c:pt idx="339">
                  <c:v>46.5701131064646</c:v>
                </c:pt>
                <c:pt idx="340">
                  <c:v>59.1434526951746</c:v>
                </c:pt>
                <c:pt idx="341">
                  <c:v>72.177142198298</c:v>
                </c:pt>
                <c:pt idx="342">
                  <c:v>85.5602878991993</c:v>
                </c:pt>
                <c:pt idx="343">
                  <c:v>99.0694251606546</c:v>
                </c:pt>
                <c:pt idx="344">
                  <c:v>112.428507840994</c:v>
                </c:pt>
                <c:pt idx="345">
                  <c:v>125.39393260271</c:v>
                </c:pt>
                <c:pt idx="346">
                  <c:v>137.822747345996</c:v>
                </c:pt>
                <c:pt idx="347">
                  <c:v>149.697061450392</c:v>
                </c:pt>
                <c:pt idx="348">
                  <c:v>161.110694190061</c:v>
                </c:pt>
                <c:pt idx="349">
                  <c:v>172.241020921065</c:v>
                </c:pt>
                <c:pt idx="350">
                  <c:v>183.323955490857</c:v>
                </c:pt>
                <c:pt idx="351">
                  <c:v>194.637681299339</c:v>
                </c:pt>
                <c:pt idx="352">
                  <c:v>206.49085798677</c:v>
                </c:pt>
                <c:pt idx="353">
                  <c:v>219.203241342401</c:v>
                </c:pt>
                <c:pt idx="354">
                  <c:v>233.058292401206</c:v>
                </c:pt>
                <c:pt idx="355">
                  <c:v>248.204499863014</c:v>
                </c:pt>
                <c:pt idx="356">
                  <c:v>264.51196276395</c:v>
                </c:pt>
                <c:pt idx="357">
                  <c:v>281.479844339381</c:v>
                </c:pt>
                <c:pt idx="358">
                  <c:v>298.351602934645</c:v>
                </c:pt>
                <c:pt idx="359">
                  <c:v>314.433769581664</c:v>
                </c:pt>
                <c:pt idx="360">
                  <c:v>329.360840505373</c:v>
                </c:pt>
                <c:pt idx="361">
                  <c:v>343.120893906545</c:v>
                </c:pt>
                <c:pt idx="362">
                  <c:v>355.926238386279</c:v>
                </c:pt>
                <c:pt idx="363">
                  <c:v>8.08051312716048</c:v>
                </c:pt>
                <c:pt idx="364">
                  <c:v>19.899519917439</c:v>
                </c:pt>
                <c:pt idx="365">
                  <c:v>31.6737803637606</c:v>
                </c:pt>
              </c:numCache>
            </c:numRef>
          </c:yVal>
          <c:smooth val="0"/>
        </c:ser>
        <c:axId val="30801691"/>
        <c:axId val="87483228"/>
      </c:scatterChart>
      <c:valAx>
        <c:axId val="30801691"/>
        <c:scaling>
          <c:orientation val="minMax"/>
          <c:max val="366"/>
          <c:min val="1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latin typeface="Arial"/>
                  </a:defRPr>
                </a:pPr>
                <a:r>
                  <a:rPr b="1" sz="1100" spc="-1" strike="noStrike">
                    <a:latin typeface="Arial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22361332033455"/>
              <c:y val="0.800664819944598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7483228"/>
        <c:crosses val="autoZero"/>
        <c:crossBetween val="midCat"/>
        <c:majorUnit val="30"/>
      </c:valAx>
      <c:valAx>
        <c:axId val="87483228"/>
        <c:scaling>
          <c:orientation val="minMax"/>
          <c:max val="360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latin typeface="Arial"/>
                  </a:defRPr>
                </a:pPr>
                <a:r>
                  <a:rPr b="1" sz="1100" spc="-1" strike="noStrike">
                    <a:latin typeface="Arial"/>
                  </a:rPr>
                  <a:t>RA / °</a:t>
                </a:r>
              </a:p>
            </c:rich>
          </c:tx>
          <c:layout>
            <c:manualLayout>
              <c:xMode val="edge"/>
              <c:yMode val="edge"/>
              <c:x val="0.0677305146492893"/>
              <c:y val="0.12631578947368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0801691"/>
        <c:crosses val="autoZero"/>
        <c:crossBetween val="midCat"/>
        <c:majorUnit val="30"/>
      </c:valAx>
      <c:spPr>
        <a:noFill/>
        <a:ln w="0">
          <a:solidFill>
            <a:srgbClr val="000000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ecliptic longitude Lm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29243517776"/>
          <c:y val="0.112025681126019"/>
          <c:w val="0.899581217143366"/>
          <c:h val="0.735780722693226"/>
        </c:manualLayout>
      </c:layout>
      <c:scatterChart>
        <c:scatterStyle val="line"/>
        <c:varyColors val="0"/>
        <c:ser>
          <c:idx val="0"/>
          <c:order val="0"/>
          <c:spPr>
            <a:noFill/>
            <a:ln cap="rnd" w="180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L__B!$E$2:$E$367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L__B!$G$2:$G$367</c:f>
              <c:numCache>
                <c:formatCode>General</c:formatCode>
                <c:ptCount val="366"/>
                <c:pt idx="1">
                  <c:v>270.630280687013</c:v>
                </c:pt>
                <c:pt idx="2">
                  <c:v>285.774196974343</c:v>
                </c:pt>
                <c:pt idx="3">
                  <c:v>300.777616038617</c:v>
                </c:pt>
                <c:pt idx="4">
                  <c:v>315.495865837717</c:v>
                </c:pt>
                <c:pt idx="5">
                  <c:v>329.816304134304</c:v>
                </c:pt>
                <c:pt idx="6">
                  <c:v>343.670941532728</c:v>
                </c:pt>
                <c:pt idx="7">
                  <c:v>357.040560046742</c:v>
                </c:pt>
                <c:pt idx="9">
                  <c:v>22.4608825404082</c:v>
                </c:pt>
                <c:pt idx="10">
                  <c:v>34.6528908100701</c:v>
                </c:pt>
                <c:pt idx="11">
                  <c:v>46.6170136719149</c:v>
                </c:pt>
                <c:pt idx="12">
                  <c:v>58.4426830689097</c:v>
                </c:pt>
                <c:pt idx="13">
                  <c:v>70.2117128915543</c:v>
                </c:pt>
                <c:pt idx="14">
                  <c:v>81.9945707121534</c:v>
                </c:pt>
                <c:pt idx="15">
                  <c:v>93.8485741940223</c:v>
                </c:pt>
                <c:pt idx="16">
                  <c:v>105.81717307145</c:v>
                </c:pt>
                <c:pt idx="17">
                  <c:v>117.930081347734</c:v>
                </c:pt>
                <c:pt idx="18">
                  <c:v>130.204631226459</c:v>
                </c:pt>
                <c:pt idx="19">
                  <c:v>142.648903313803</c:v>
                </c:pt>
                <c:pt idx="20">
                  <c:v>155.266754702329</c:v>
                </c:pt>
                <c:pt idx="21">
                  <c:v>168.063960275462</c:v>
                </c:pt>
                <c:pt idx="22">
                  <c:v>181.05372668993</c:v>
                </c:pt>
                <c:pt idx="23">
                  <c:v>194.259352137844</c:v>
                </c:pt>
                <c:pt idx="24">
                  <c:v>207.712163594669</c:v>
                </c:pt>
                <c:pt idx="25">
                  <c:v>221.444109410007</c:v>
                </c:pt>
                <c:pt idx="26">
                  <c:v>235.476173848099</c:v>
                </c:pt>
                <c:pt idx="27">
                  <c:v>249.80548831365</c:v>
                </c:pt>
                <c:pt idx="28">
                  <c:v>264.394974340055</c:v>
                </c:pt>
                <c:pt idx="29">
                  <c:v>279.16912183491</c:v>
                </c:pt>
                <c:pt idx="30">
                  <c:v>294.018052514724</c:v>
                </c:pt>
                <c:pt idx="31">
                  <c:v>308.809761739947</c:v>
                </c:pt>
                <c:pt idx="32">
                  <c:v>323.408099850302</c:v>
                </c:pt>
                <c:pt idx="33">
                  <c:v>337.692420169375</c:v>
                </c:pt>
                <c:pt idx="34">
                  <c:v>351.574419848896</c:v>
                </c:pt>
                <c:pt idx="36">
                  <c:v>17.9949351008727</c:v>
                </c:pt>
                <c:pt idx="37">
                  <c:v>30.5736262035725</c:v>
                </c:pt>
                <c:pt idx="38">
                  <c:v>42.8153794595465</c:v>
                </c:pt>
                <c:pt idx="39">
                  <c:v>54.8091617412626</c:v>
                </c:pt>
                <c:pt idx="40">
                  <c:v>66.6509022176712</c:v>
                </c:pt>
                <c:pt idx="41">
                  <c:v>78.434601745859</c:v>
                </c:pt>
                <c:pt idx="42">
                  <c:v>90.2462335014366</c:v>
                </c:pt>
                <c:pt idx="43">
                  <c:v>102.15978172886</c:v>
                </c:pt>
                <c:pt idx="44">
                  <c:v>114.234452377191</c:v>
                </c:pt>
                <c:pt idx="45">
                  <c:v>126.512471552213</c:v>
                </c:pt>
                <c:pt idx="46">
                  <c:v>139.017639913669</c:v>
                </c:pt>
                <c:pt idx="47">
                  <c:v>151.755444130063</c:v>
                </c:pt>
                <c:pt idx="48">
                  <c:v>164.715621206931</c:v>
                </c:pt>
                <c:pt idx="49">
                  <c:v>177.877479382487</c:v>
                </c:pt>
                <c:pt idx="50">
                  <c:v>191.217201339017</c:v>
                </c:pt>
                <c:pt idx="51">
                  <c:v>204.715264398025</c:v>
                </c:pt>
                <c:pt idx="52">
                  <c:v>218.361549363475</c:v>
                </c:pt>
                <c:pt idx="53">
                  <c:v>232.156041615356</c:v>
                </c:pt>
                <c:pt idx="54">
                  <c:v>246.104268979316</c:v>
                </c:pt>
                <c:pt idx="55">
                  <c:v>260.20839672392</c:v>
                </c:pt>
                <c:pt idx="56">
                  <c:v>274.456576490507</c:v>
                </c:pt>
                <c:pt idx="57">
                  <c:v>288.814071771756</c:v>
                </c:pt>
                <c:pt idx="58">
                  <c:v>303.21945088535</c:v>
                </c:pt>
                <c:pt idx="59">
                  <c:v>317.587759721713</c:v>
                </c:pt>
                <c:pt idx="60">
                  <c:v>331.820500604341</c:v>
                </c:pt>
                <c:pt idx="61">
                  <c:v>345.820162132696</c:v>
                </c:pt>
                <c:pt idx="62">
                  <c:v>359.505685564859</c:v>
                </c:pt>
                <c:pt idx="64">
                  <c:v>25.7623274265111</c:v>
                </c:pt>
                <c:pt idx="65">
                  <c:v>38.3378132025819</c:v>
                </c:pt>
                <c:pt idx="66">
                  <c:v>50.6028413038316</c:v>
                </c:pt>
                <c:pt idx="67">
                  <c:v>62.6308845165425</c:v>
                </c:pt>
                <c:pt idx="68">
                  <c:v>74.5080126763305</c:v>
                </c:pt>
                <c:pt idx="69">
                  <c:v>86.3246378352171</c:v>
                </c:pt>
                <c:pt idx="70">
                  <c:v>98.1694258505817</c:v>
                </c:pt>
                <c:pt idx="71">
                  <c:v>110.125006477813</c:v>
                </c:pt>
                <c:pt idx="72">
                  <c:v>122.264402835736</c:v>
                </c:pt>
                <c:pt idx="73">
                  <c:v>134.647176390093</c:v>
                </c:pt>
                <c:pt idx="74">
                  <c:v>147.315040685009</c:v>
                </c:pt>
                <c:pt idx="75">
                  <c:v>160.287714436012</c:v>
                </c:pt>
                <c:pt idx="76">
                  <c:v>173.560517351659</c:v>
                </c:pt>
                <c:pt idx="77">
                  <c:v>187.105237679086</c:v>
                </c:pt>
                <c:pt idx="78">
                  <c:v>200.875012233818</c:v>
                </c:pt>
                <c:pt idx="79">
                  <c:v>214.812624529445</c:v>
                </c:pt>
                <c:pt idx="80">
                  <c:v>228.860281846406</c:v>
                </c:pt>
                <c:pt idx="81">
                  <c:v>242.968162507403</c:v>
                </c:pt>
                <c:pt idx="82">
                  <c:v>257.099212976232</c:v>
                </c:pt>
                <c:pt idx="83">
                  <c:v>271.228829524948</c:v>
                </c:pt>
                <c:pt idx="84">
                  <c:v>285.339795754892</c:v>
                </c:pt>
                <c:pt idx="85">
                  <c:v>299.414528046722</c:v>
                </c:pt>
                <c:pt idx="86">
                  <c:v>313.427666345688</c:v>
                </c:pt>
                <c:pt idx="87">
                  <c:v>327.341950755469</c:v>
                </c:pt>
                <c:pt idx="88">
                  <c:v>341.109168742506</c:v>
                </c:pt>
                <c:pt idx="89">
                  <c:v>354.676171777589</c:v>
                </c:pt>
                <c:pt idx="91">
                  <c:v>21.0287632680193</c:v>
                </c:pt>
                <c:pt idx="92">
                  <c:v>33.7670158809909</c:v>
                </c:pt>
                <c:pt idx="93">
                  <c:v>46.2211080621056</c:v>
                </c:pt>
                <c:pt idx="94">
                  <c:v>58.4268293492726</c:v>
                </c:pt>
                <c:pt idx="95">
                  <c:v>70.4389135864027</c:v>
                </c:pt>
                <c:pt idx="96">
                  <c:v>82.3249376839957</c:v>
                </c:pt>
                <c:pt idx="97">
                  <c:v>94.1597555804242</c:v>
                </c:pt>
                <c:pt idx="98">
                  <c:v>106.021519454029</c:v>
                </c:pt>
                <c:pt idx="99">
                  <c:v>117.989106130608</c:v>
                </c:pt>
                <c:pt idx="100">
                  <c:v>130.139768960403</c:v>
                </c:pt>
                <c:pt idx="101">
                  <c:v>142.545549061014</c:v>
                </c:pt>
                <c:pt idx="102">
                  <c:v>155.267557917593</c:v>
                </c:pt>
                <c:pt idx="103">
                  <c:v>168.348448777633</c:v>
                </c:pt>
                <c:pt idx="104">
                  <c:v>181.804696673612</c:v>
                </c:pt>
                <c:pt idx="105">
                  <c:v>195.621105335002</c:v>
                </c:pt>
                <c:pt idx="106">
                  <c:v>209.749838457252</c:v>
                </c:pt>
                <c:pt idx="107">
                  <c:v>224.115186061345</c:v>
                </c:pt>
                <c:pt idx="108">
                  <c:v>238.623578387258</c:v>
                </c:pt>
                <c:pt idx="109">
                  <c:v>253.176672422939</c:v>
                </c:pt>
                <c:pt idx="110">
                  <c:v>267.684304751667</c:v>
                </c:pt>
                <c:pt idx="111">
                  <c:v>282.074137654908</c:v>
                </c:pt>
                <c:pt idx="112">
                  <c:v>296.295929581152</c:v>
                </c:pt>
                <c:pt idx="113">
                  <c:v>310.320134092572</c:v>
                </c:pt>
                <c:pt idx="114">
                  <c:v>324.132320171007</c:v>
                </c:pt>
                <c:pt idx="115">
                  <c:v>337.726064092097</c:v>
                </c:pt>
                <c:pt idx="116">
                  <c:v>351.09709982939</c:v>
                </c:pt>
                <c:pt idx="118">
                  <c:v>17.1523540765097</c:v>
                </c:pt>
                <c:pt idx="119">
                  <c:v>29.8318569567601</c:v>
                </c:pt>
                <c:pt idx="120">
                  <c:v>42.2870180574613</c:v>
                </c:pt>
                <c:pt idx="121">
                  <c:v>54.5369793858275</c:v>
                </c:pt>
                <c:pt idx="122">
                  <c:v>66.6129109668901</c:v>
                </c:pt>
                <c:pt idx="123">
                  <c:v>78.5565440520054</c:v>
                </c:pt>
                <c:pt idx="124">
                  <c:v>90.4175684566398</c:v>
                </c:pt>
                <c:pt idx="125">
                  <c:v>102.251326982571</c:v>
                </c:pt>
                <c:pt idx="126">
                  <c:v>114.117791524884</c:v>
                </c:pt>
                <c:pt idx="127">
                  <c:v>126.081774081067</c:v>
                </c:pt>
                <c:pt idx="128">
                  <c:v>138.213210720189</c:v>
                </c:pt>
                <c:pt idx="129">
                  <c:v>150.58572147404</c:v>
                </c:pt>
                <c:pt idx="130">
                  <c:v>163.271872841675</c:v>
                </c:pt>
                <c:pt idx="131">
                  <c:v>176.33466884259</c:v>
                </c:pt>
                <c:pt idx="132">
                  <c:v>189.816398223673</c:v>
                </c:pt>
                <c:pt idx="133">
                  <c:v>203.72744349184</c:v>
                </c:pt>
                <c:pt idx="134">
                  <c:v>218.038381255939</c:v>
                </c:pt>
                <c:pt idx="135">
                  <c:v>232.678297351215</c:v>
                </c:pt>
                <c:pt idx="136">
                  <c:v>247.540748500392</c:v>
                </c:pt>
                <c:pt idx="137">
                  <c:v>262.496689060739</c:v>
                </c:pt>
                <c:pt idx="138">
                  <c:v>277.411664197781</c:v>
                </c:pt>
                <c:pt idx="139">
                  <c:v>292.163350785447</c:v>
                </c:pt>
                <c:pt idx="140">
                  <c:v>306.655523499861</c:v>
                </c:pt>
                <c:pt idx="141">
                  <c:v>320.825715948145</c:v>
                </c:pt>
                <c:pt idx="142">
                  <c:v>334.645789732579</c:v>
                </c:pt>
                <c:pt idx="143">
                  <c:v>348.116624079538</c:v>
                </c:pt>
                <c:pt idx="145">
                  <c:v>14.1072825551605</c:v>
                </c:pt>
                <c:pt idx="146">
                  <c:v>26.6972680804478</c:v>
                </c:pt>
                <c:pt idx="147">
                  <c:v>39.0674516409723</c:v>
                </c:pt>
                <c:pt idx="148">
                  <c:v>51.2551775643718</c:v>
                </c:pt>
                <c:pt idx="149">
                  <c:v>63.2974603455852</c:v>
                </c:pt>
                <c:pt idx="150">
                  <c:v>75.2315804841383</c:v>
                </c:pt>
                <c:pt idx="151">
                  <c:v>87.0952822969911</c:v>
                </c:pt>
                <c:pt idx="152">
                  <c:v>98.9266982688588</c:v>
                </c:pt>
                <c:pt idx="153">
                  <c:v>110.764713996874</c:v>
                </c:pt>
                <c:pt idx="154">
                  <c:v>122.650487760093</c:v>
                </c:pt>
                <c:pt idx="155">
                  <c:v>134.630193046802</c:v>
                </c:pt>
                <c:pt idx="156">
                  <c:v>146.758045430266</c:v>
                </c:pt>
                <c:pt idx="157">
                  <c:v>159.097813504251</c:v>
                </c:pt>
                <c:pt idx="158">
                  <c:v>171.720801356993</c:v>
                </c:pt>
                <c:pt idx="159">
                  <c:v>184.698993880805</c:v>
                </c:pt>
                <c:pt idx="160">
                  <c:v>198.093560919627</c:v>
                </c:pt>
                <c:pt idx="161">
                  <c:v>211.940737645713</c:v>
                </c:pt>
                <c:pt idx="162">
                  <c:v>226.238554438698</c:v>
                </c:pt>
                <c:pt idx="163">
                  <c:v>240.938364300965</c:v>
                </c:pt>
                <c:pt idx="164">
                  <c:v>255.944313026261</c:v>
                </c:pt>
                <c:pt idx="165">
                  <c:v>271.121976799794</c:v>
                </c:pt>
                <c:pt idx="166">
                  <c:v>286.314932677776</c:v>
                </c:pt>
                <c:pt idx="167">
                  <c:v>301.365826439542</c:v>
                </c:pt>
                <c:pt idx="168">
                  <c:v>316.137285316882</c:v>
                </c:pt>
                <c:pt idx="169">
                  <c:v>330.528179152156</c:v>
                </c:pt>
                <c:pt idx="170">
                  <c:v>344.482176452476</c:v>
                </c:pt>
                <c:pt idx="171">
                  <c:v>357.987751152452</c:v>
                </c:pt>
                <c:pt idx="173">
                  <c:v>23.7843198282792</c:v>
                </c:pt>
                <c:pt idx="174">
                  <c:v>36.1939010033167</c:v>
                </c:pt>
                <c:pt idx="175">
                  <c:v>48.3694528160985</c:v>
                </c:pt>
                <c:pt idx="176">
                  <c:v>60.3769446093691</c:v>
                </c:pt>
                <c:pt idx="177">
                  <c:v>72.2748629458748</c:v>
                </c:pt>
                <c:pt idx="178">
                  <c:v>84.1130264197101</c:v>
                </c:pt>
                <c:pt idx="179">
                  <c:v>95.9329264216082</c:v>
                </c:pt>
                <c:pt idx="180">
                  <c:v>107.768908552665</c:v>
                </c:pt>
                <c:pt idx="181">
                  <c:v>119.650099185482</c:v>
                </c:pt>
                <c:pt idx="182">
                  <c:v>131.603351793067</c:v>
                </c:pt>
                <c:pt idx="183">
                  <c:v>143.657341705699</c:v>
                </c:pt>
                <c:pt idx="184">
                  <c:v>155.847277741521</c:v>
                </c:pt>
                <c:pt idx="185">
                  <c:v>168.218836050138</c:v>
                </c:pt>
                <c:pt idx="186">
                  <c:v>180.829341132941</c:v>
                </c:pt>
                <c:pt idx="187">
                  <c:v>193.74435628987</c:v>
                </c:pt>
                <c:pt idx="188">
                  <c:v>207.028867609305</c:v>
                </c:pt>
                <c:pt idx="189">
                  <c:v>220.733938110532</c:v>
                </c:pt>
                <c:pt idx="190">
                  <c:v>234.881523484122</c:v>
                </c:pt>
                <c:pt idx="191">
                  <c:v>249.451390298384</c:v>
                </c:pt>
                <c:pt idx="192">
                  <c:v>264.374203335896</c:v>
                </c:pt>
                <c:pt idx="193">
                  <c:v>279.533657492514</c:v>
                </c:pt>
                <c:pt idx="194">
                  <c:v>294.778296661579</c:v>
                </c:pt>
                <c:pt idx="195">
                  <c:v>309.941056366662</c:v>
                </c:pt>
                <c:pt idx="196">
                  <c:v>324.862421809771</c:v>
                </c:pt>
                <c:pt idx="197">
                  <c:v>339.412107039498</c:v>
                </c:pt>
                <c:pt idx="198">
                  <c:v>353.504644981449</c:v>
                </c:pt>
                <c:pt idx="200">
                  <c:v>20.2311210868523</c:v>
                </c:pt>
                <c:pt idx="201">
                  <c:v>32.9333939744709</c:v>
                </c:pt>
                <c:pt idx="202">
                  <c:v>45.2909877182798</c:v>
                </c:pt>
                <c:pt idx="203">
                  <c:v>57.3922046562681</c:v>
                </c:pt>
                <c:pt idx="204">
                  <c:v>69.3236940631068</c:v>
                </c:pt>
                <c:pt idx="205">
                  <c:v>81.1626740731639</c:v>
                </c:pt>
                <c:pt idx="206">
                  <c:v>92.9732063042147</c:v>
                </c:pt>
                <c:pt idx="207">
                  <c:v>104.805555609817</c:v>
                </c:pt>
                <c:pt idx="208">
                  <c:v>116.69742685316</c:v>
                </c:pt>
                <c:pt idx="209">
                  <c:v>128.676230517595</c:v>
                </c:pt>
                <c:pt idx="210">
                  <c:v>140.762106361377</c:v>
                </c:pt>
                <c:pt idx="211">
                  <c:v>152.971792076556</c:v>
                </c:pt>
                <c:pt idx="212">
                  <c:v>165.323289125193</c:v>
                </c:pt>
                <c:pt idx="213">
                  <c:v>177.840677915366</c:v>
                </c:pt>
                <c:pt idx="214">
                  <c:v>190.557689935079</c:v>
                </c:pt>
                <c:pt idx="215">
                  <c:v>203.51822188362</c:v>
                </c:pt>
                <c:pt idx="216">
                  <c:v>216.772264095612</c:v>
                </c:pt>
                <c:pt idx="217">
                  <c:v>230.366819369016</c:v>
                </c:pt>
                <c:pt idx="218">
                  <c:v>244.333045439623</c:v>
                </c:pt>
                <c:pt idx="219">
                  <c:v>258.67250166201</c:v>
                </c:pt>
                <c:pt idx="220">
                  <c:v>273.346362490732</c:v>
                </c:pt>
                <c:pt idx="221">
                  <c:v>288.271293441767</c:v>
                </c:pt>
                <c:pt idx="222">
                  <c:v>303.324270481862</c:v>
                </c:pt>
                <c:pt idx="223">
                  <c:v>318.356318608415</c:v>
                </c:pt>
                <c:pt idx="224">
                  <c:v>333.212657872794</c:v>
                </c:pt>
                <c:pt idx="225">
                  <c:v>347.754887281836</c:v>
                </c:pt>
                <c:pt idx="227">
                  <c:v>15.53370503837</c:v>
                </c:pt>
                <c:pt idx="228">
                  <c:v>28.7110995656791</c:v>
                </c:pt>
                <c:pt idx="229">
                  <c:v>41.4530840787897</c:v>
                </c:pt>
                <c:pt idx="230">
                  <c:v>53.8329860735459</c:v>
                </c:pt>
                <c:pt idx="231">
                  <c:v>65.9419039965656</c:v>
                </c:pt>
                <c:pt idx="232">
                  <c:v>77.8747949592995</c:v>
                </c:pt>
                <c:pt idx="233">
                  <c:v>89.7200665321186</c:v>
                </c:pt>
                <c:pt idx="234">
                  <c:v>101.553593253324</c:v>
                </c:pt>
                <c:pt idx="235">
                  <c:v>113.436608639672</c:v>
                </c:pt>
                <c:pt idx="236">
                  <c:v>125.416093794223</c:v>
                </c:pt>
                <c:pt idx="237">
                  <c:v>137.526262188857</c:v>
                </c:pt>
                <c:pt idx="238">
                  <c:v>149.790328604439</c:v>
                </c:pt>
                <c:pt idx="239">
                  <c:v>162.222505952044</c:v>
                </c:pt>
                <c:pt idx="240">
                  <c:v>174.830629892813</c:v>
                </c:pt>
                <c:pt idx="241">
                  <c:v>187.61969710353</c:v>
                </c:pt>
                <c:pt idx="242">
                  <c:v>200.595969009998</c:v>
                </c:pt>
                <c:pt idx="243">
                  <c:v>213.770485842731</c:v>
                </c:pt>
                <c:pt idx="244">
                  <c:v>227.160337277664</c:v>
                </c:pt>
                <c:pt idx="245">
                  <c:v>240.786231857038</c:v>
                </c:pt>
                <c:pt idx="246">
                  <c:v>254.665893115604</c:v>
                </c:pt>
                <c:pt idx="247">
                  <c:v>268.804316058001</c:v>
                </c:pt>
                <c:pt idx="248">
                  <c:v>283.183393035323</c:v>
                </c:pt>
                <c:pt idx="249">
                  <c:v>297.754245719867</c:v>
                </c:pt>
                <c:pt idx="250">
                  <c:v>312.435351759113</c:v>
                </c:pt>
                <c:pt idx="251">
                  <c:v>327.118185439084</c:v>
                </c:pt>
                <c:pt idx="252">
                  <c:v>341.679985409982</c:v>
                </c:pt>
                <c:pt idx="253">
                  <c:v>356.001108315742</c:v>
                </c:pt>
                <c:pt idx="255">
                  <c:v>23.562314802278</c:v>
                </c:pt>
                <c:pt idx="256">
                  <c:v>36.7186622857941</c:v>
                </c:pt>
                <c:pt idx="257">
                  <c:v>49.4736723259138</c:v>
                </c:pt>
                <c:pt idx="258">
                  <c:v>61.8835316223287</c:v>
                </c:pt>
                <c:pt idx="259">
                  <c:v>74.0270865447442</c:v>
                </c:pt>
                <c:pt idx="260">
                  <c:v>85.993174446435</c:v>
                </c:pt>
                <c:pt idx="261">
                  <c:v>97.8700952061703</c:v>
                </c:pt>
                <c:pt idx="262">
                  <c:v>109.738808655703</c:v>
                </c:pt>
                <c:pt idx="263">
                  <c:v>121.669826217121</c:v>
                </c:pt>
                <c:pt idx="264">
                  <c:v>133.722531177575</c:v>
                </c:pt>
                <c:pt idx="265">
                  <c:v>145.945238076671</c:v>
                </c:pt>
                <c:pt idx="266">
                  <c:v>158.374740299578</c:v>
                </c:pt>
                <c:pt idx="267">
                  <c:v>171.035077507749</c:v>
                </c:pt>
                <c:pt idx="268">
                  <c:v>183.936247926115</c:v>
                </c:pt>
                <c:pt idx="269">
                  <c:v>197.07408896671</c:v>
                </c:pt>
                <c:pt idx="270">
                  <c:v>210.43229788039</c:v>
                </c:pt>
                <c:pt idx="271">
                  <c:v>223.986667552244</c:v>
                </c:pt>
                <c:pt idx="272">
                  <c:v>237.710489223679</c:v>
                </c:pt>
                <c:pt idx="273">
                  <c:v>251.579269013405</c:v>
                </c:pt>
                <c:pt idx="274">
                  <c:v>265.572847804449</c:v>
                </c:pt>
                <c:pt idx="275">
                  <c:v>279.6738206402</c:v>
                </c:pt>
                <c:pt idx="276">
                  <c:v>293.862559932684</c:v>
                </c:pt>
                <c:pt idx="277">
                  <c:v>308.1106114284</c:v>
                </c:pt>
                <c:pt idx="278">
                  <c:v>322.375144736873</c:v>
                </c:pt>
                <c:pt idx="279">
                  <c:v>336.597083267367</c:v>
                </c:pt>
                <c:pt idx="280">
                  <c:v>350.704465516075</c:v>
                </c:pt>
                <c:pt idx="282">
                  <c:v>18.2768955131585</c:v>
                </c:pt>
                <c:pt idx="283">
                  <c:v>31.6218588600164</c:v>
                </c:pt>
                <c:pt idx="284">
                  <c:v>44.6322131796149</c:v>
                </c:pt>
                <c:pt idx="285">
                  <c:v>57.3149355426648</c:v>
                </c:pt>
                <c:pt idx="286">
                  <c:v>69.7052360740115</c:v>
                </c:pt>
                <c:pt idx="287">
                  <c:v>81.8599688055641</c:v>
                </c:pt>
                <c:pt idx="288">
                  <c:v>93.8491671624246</c:v>
                </c:pt>
                <c:pt idx="289">
                  <c:v>105.748270544179</c:v>
                </c:pt>
                <c:pt idx="290">
                  <c:v>117.632765486139</c:v>
                </c:pt>
                <c:pt idx="291">
                  <c:v>129.57555348169</c:v>
                </c:pt>
                <c:pt idx="292">
                  <c:v>141.646000477173</c:v>
                </c:pt>
                <c:pt idx="293">
                  <c:v>153.908898320713</c:v>
                </c:pt>
                <c:pt idx="294">
                  <c:v>166.421770859786</c:v>
                </c:pt>
                <c:pt idx="295">
                  <c:v>179.229979339265</c:v>
                </c:pt>
                <c:pt idx="296">
                  <c:v>192.360461709768</c:v>
                </c:pt>
                <c:pt idx="297">
                  <c:v>205.816058304899</c:v>
                </c:pt>
                <c:pt idx="298">
                  <c:v>219.572714598298</c:v>
                </c:pt>
                <c:pt idx="299">
                  <c:v>233.581214414584</c:v>
                </c:pt>
                <c:pt idx="300">
                  <c:v>247.773695630033</c:v>
                </c:pt>
                <c:pt idx="301">
                  <c:v>262.073571828577</c:v>
                </c:pt>
                <c:pt idx="302">
                  <c:v>276.406272329032</c:v>
                </c:pt>
                <c:pt idx="303">
                  <c:v>290.707909437266</c:v>
                </c:pt>
                <c:pt idx="304">
                  <c:v>304.92972033661</c:v>
                </c:pt>
                <c:pt idx="305">
                  <c:v>319.037634949126</c:v>
                </c:pt>
                <c:pt idx="306">
                  <c:v>333.008013325899</c:v>
                </c:pt>
                <c:pt idx="307">
                  <c:v>346.821831796472</c:v>
                </c:pt>
                <c:pt idx="309">
                  <c:v>13.9011948548608</c:v>
                </c:pt>
                <c:pt idx="310">
                  <c:v>27.1244276443721</c:v>
                </c:pt>
                <c:pt idx="311">
                  <c:v>40.1127158393476</c:v>
                </c:pt>
                <c:pt idx="312">
                  <c:v>52.8587064772991</c:v>
                </c:pt>
                <c:pt idx="313">
                  <c:v>65.3685819827796</c:v>
                </c:pt>
                <c:pt idx="314">
                  <c:v>77.6634749742622</c:v>
                </c:pt>
                <c:pt idx="315">
                  <c:v>89.7781946684229</c:v>
                </c:pt>
                <c:pt idx="316">
                  <c:v>101.758280198633</c:v>
                </c:pt>
                <c:pt idx="317">
                  <c:v>113.656950517396</c:v>
                </c:pt>
                <c:pt idx="318">
                  <c:v>125.533248792225</c:v>
                </c:pt>
                <c:pt idx="319">
                  <c:v>137.451712371133</c:v>
                </c:pt>
                <c:pt idx="320">
                  <c:v>149.482692483686</c:v>
                </c:pt>
                <c:pt idx="321">
                  <c:v>161.701585993357</c:v>
                </c:pt>
                <c:pt idx="322">
                  <c:v>174.185185669329</c:v>
                </c:pt>
                <c:pt idx="323">
                  <c:v>187.004234181886</c:v>
                </c:pt>
                <c:pt idx="324">
                  <c:v>200.212803470833</c:v>
                </c:pt>
                <c:pt idx="325">
                  <c:v>213.836728784527</c:v>
                </c:pt>
                <c:pt idx="326">
                  <c:v>227.864338400268</c:v>
                </c:pt>
                <c:pt idx="327">
                  <c:v>242.242658802664</c:v>
                </c:pt>
                <c:pt idx="328">
                  <c:v>256.881056440832</c:v>
                </c:pt>
                <c:pt idx="329">
                  <c:v>271.662259544313</c:v>
                </c:pt>
                <c:pt idx="330">
                  <c:v>286.458563456936</c:v>
                </c:pt>
                <c:pt idx="331">
                  <c:v>301.149503080899</c:v>
                </c:pt>
                <c:pt idx="332">
                  <c:v>315.636904115504</c:v>
                </c:pt>
                <c:pt idx="333">
                  <c:v>329.854115646048</c:v>
                </c:pt>
                <c:pt idx="334">
                  <c:v>343.768043975242</c:v>
                </c:pt>
                <c:pt idx="335">
                  <c:v>357.3746993353</c:v>
                </c:pt>
                <c:pt idx="337">
                  <c:v>23.7432305572643</c:v>
                </c:pt>
                <c:pt idx="338">
                  <c:v>36.5628602441572</c:v>
                </c:pt>
                <c:pt idx="339">
                  <c:v>49.177912041289</c:v>
                </c:pt>
                <c:pt idx="340">
                  <c:v>61.6133636472362</c:v>
                </c:pt>
                <c:pt idx="341">
                  <c:v>73.8916271358785</c:v>
                </c:pt>
                <c:pt idx="342">
                  <c:v>86.0344414763322</c:v>
                </c:pt>
                <c:pt idx="343">
                  <c:v>98.0647771690642</c:v>
                </c:pt>
                <c:pt idx="344">
                  <c:v>110.008450802046</c:v>
                </c:pt>
                <c:pt idx="345">
                  <c:v>121.895796960355</c:v>
                </c:pt>
                <c:pt idx="346">
                  <c:v>133.763922802152</c:v>
                </c:pt>
                <c:pt idx="347">
                  <c:v>145.659632758899</c:v>
                </c:pt>
                <c:pt idx="348">
                  <c:v>157.642249679063</c:v>
                </c:pt>
                <c:pt idx="349">
                  <c:v>169.784725020684</c:v>
                </c:pt>
                <c:pt idx="350">
                  <c:v>182.171132149735</c:v>
                </c:pt>
                <c:pt idx="351">
                  <c:v>194.889199363885</c:v>
                </c:pt>
                <c:pt idx="352">
                  <c:v>208.01793429262</c:v>
                </c:pt>
                <c:pt idx="353">
                  <c:v>221.612207322124</c:v>
                </c:pt>
                <c:pt idx="354">
                  <c:v>235.687739868953</c:v>
                </c:pt>
                <c:pt idx="355">
                  <c:v>250.21062804292</c:v>
                </c:pt>
                <c:pt idx="356">
                  <c:v>265.094937552927</c:v>
                </c:pt>
                <c:pt idx="357">
                  <c:v>280.210089482344</c:v>
                </c:pt>
                <c:pt idx="358">
                  <c:v>295.397228076956</c:v>
                </c:pt>
                <c:pt idx="359">
                  <c:v>310.491314068965</c:v>
                </c:pt>
                <c:pt idx="360">
                  <c:v>325.344115817139</c:v>
                </c:pt>
                <c:pt idx="361">
                  <c:v>339.843085631707</c:v>
                </c:pt>
                <c:pt idx="362">
                  <c:v>353.922351039411</c:v>
                </c:pt>
                <c:pt idx="364">
                  <c:v>20.7925850264124</c:v>
                </c:pt>
                <c:pt idx="365">
                  <c:v>33.6597689909561</c:v>
                </c:pt>
              </c:numCache>
            </c:numRef>
          </c:yVal>
          <c:smooth val="0"/>
        </c:ser>
        <c:axId val="28088604"/>
        <c:axId val="41034419"/>
      </c:scatterChart>
      <c:valAx>
        <c:axId val="28088604"/>
        <c:scaling>
          <c:orientation val="minMax"/>
          <c:max val="366"/>
          <c:min val="1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35249042145594"/>
              <c:y val="0.740225532965676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1034419"/>
        <c:crosses val="autoZero"/>
        <c:crossBetween val="midCat"/>
        <c:majorUnit val="30"/>
      </c:valAx>
      <c:valAx>
        <c:axId val="41034419"/>
        <c:scaling>
          <c:orientation val="minMax"/>
          <c:max val="360"/>
          <c:min val="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solidFill>
                      <a:srgbClr val="ff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ff0000"/>
                    </a:solidFill>
                    <a:latin typeface="Calibri"/>
                  </a:rPr>
                  <a:t>Lm</a:t>
                </a:r>
              </a:p>
            </c:rich>
          </c:tx>
          <c:layout>
            <c:manualLayout>
              <c:xMode val="edge"/>
              <c:yMode val="edge"/>
              <c:x val="0.0760937360776976"/>
              <c:y val="-0.00502098938184213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8088604"/>
        <c:crosses val="autoZero"/>
        <c:crossBetween val="midCat"/>
        <c:majorUnit val="30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Calibri"/>
              </a:defRPr>
            </a:pPr>
            <a:r>
              <a:rPr b="0" sz="1300" spc="-1" strike="noStrike">
                <a:solidFill>
                  <a:srgbClr val="000000"/>
                </a:solidFill>
                <a:latin typeface="Calibri"/>
              </a:rPr>
              <a:t>ecliptic latitude Bm</a:t>
            </a:r>
          </a:p>
        </c:rich>
      </c:tx>
      <c:layout>
        <c:manualLayout>
          <c:xMode val="edge"/>
          <c:yMode val="edge"/>
          <c:x val="0.406267332224071"/>
          <c:y val="0.0223787167449139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65427990386393"/>
          <c:y val="0.0804381846635368"/>
          <c:w val="0.915834719911259"/>
          <c:h val="0.865336463223787"/>
        </c:manualLayout>
      </c:layout>
      <c:scatterChart>
        <c:scatterStyle val="line"/>
        <c:varyColors val="0"/>
        <c:ser>
          <c:idx val="0"/>
          <c:order val="0"/>
          <c:spPr>
            <a:noFill/>
            <a:ln cap="rnd" w="180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L__B!$E$2:$E$367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L__B!$H$2:$H$367</c:f>
              <c:numCache>
                <c:formatCode>General</c:formatCode>
                <c:ptCount val="366"/>
                <c:pt idx="0">
                  <c:v>-1.28827268204613</c:v>
                </c:pt>
                <c:pt idx="1">
                  <c:v>-2.55508761166881</c:v>
                </c:pt>
                <c:pt idx="2">
                  <c:v>-3.64005114031867</c:v>
                </c:pt>
                <c:pt idx="3">
                  <c:v>-4.46078950765045</c:v>
                </c:pt>
                <c:pt idx="4">
                  <c:v>-4.96752173632252</c:v>
                </c:pt>
                <c:pt idx="5">
                  <c:v>-5.14672355850508</c:v>
                </c:pt>
                <c:pt idx="6">
                  <c:v>-5.0159370933491</c:v>
                </c:pt>
                <c:pt idx="7">
                  <c:v>-4.61334322548896</c:v>
                </c:pt>
                <c:pt idx="8">
                  <c:v>-3.98682328667054</c:v>
                </c:pt>
                <c:pt idx="9">
                  <c:v>-3.18590773425046</c:v>
                </c:pt>
                <c:pt idx="10">
                  <c:v>-2.25770665972653</c:v>
                </c:pt>
                <c:pt idx="11">
                  <c:v>-1.2460832063634</c:v>
                </c:pt>
                <c:pt idx="12">
                  <c:v>-0.192567319054914</c:v>
                </c:pt>
                <c:pt idx="13">
                  <c:v>0.862355725967563</c:v>
                </c:pt>
                <c:pt idx="14">
                  <c:v>1.87839746641635</c:v>
                </c:pt>
                <c:pt idx="15">
                  <c:v>2.81534585577153</c:v>
                </c:pt>
                <c:pt idx="16">
                  <c:v>3.63366432594681</c:v>
                </c:pt>
                <c:pt idx="17">
                  <c:v>4.29572213224921</c:v>
                </c:pt>
                <c:pt idx="18">
                  <c:v>4.76755123613836</c:v>
                </c:pt>
                <c:pt idx="19">
                  <c:v>5.02094376415562</c:v>
                </c:pt>
                <c:pt idx="20">
                  <c:v>5.03557015809638</c:v>
                </c:pt>
                <c:pt idx="21">
                  <c:v>4.80075589054025</c:v>
                </c:pt>
                <c:pt idx="22">
                  <c:v>4.3167393892847</c:v>
                </c:pt>
                <c:pt idx="23">
                  <c:v>3.59560176738277</c:v>
                </c:pt>
                <c:pt idx="24">
                  <c:v>2.66234207182277</c:v>
                </c:pt>
                <c:pt idx="25">
                  <c:v>1.5564300417324</c:v>
                </c:pt>
                <c:pt idx="26">
                  <c:v>0.33345898129333</c:v>
                </c:pt>
                <c:pt idx="27">
                  <c:v>-0.934486738205402</c:v>
                </c:pt>
                <c:pt idx="28">
                  <c:v>-2.161761717905</c:v>
                </c:pt>
                <c:pt idx="29">
                  <c:v>-3.25687455614138</c:v>
                </c:pt>
                <c:pt idx="30">
                  <c:v>-4.13454625863876</c:v>
                </c:pt>
                <c:pt idx="31">
                  <c:v>-4.72912656041569</c:v>
                </c:pt>
                <c:pt idx="32">
                  <c:v>-5.00485627785131</c:v>
                </c:pt>
                <c:pt idx="33">
                  <c:v>-4.95927455359909</c:v>
                </c:pt>
                <c:pt idx="34">
                  <c:v>-4.61897862891004</c:v>
                </c:pt>
                <c:pt idx="35">
                  <c:v>-4.03015705481555</c:v>
                </c:pt>
                <c:pt idx="36">
                  <c:v>-3.24791965360097</c:v>
                </c:pt>
                <c:pt idx="37">
                  <c:v>-2.32785736293207</c:v>
                </c:pt>
                <c:pt idx="38">
                  <c:v>-1.32136714111679</c:v>
                </c:pt>
                <c:pt idx="39">
                  <c:v>-0.274418649905076</c:v>
                </c:pt>
                <c:pt idx="40">
                  <c:v>0.771551437736062</c:v>
                </c:pt>
                <c:pt idx="41">
                  <c:v>1.77799924483774</c:v>
                </c:pt>
                <c:pt idx="42">
                  <c:v>2.70782214166723</c:v>
                </c:pt>
                <c:pt idx="43">
                  <c:v>3.52453427934085</c:v>
                </c:pt>
                <c:pt idx="44">
                  <c:v>4.192234981245</c:v>
                </c:pt>
                <c:pt idx="45">
                  <c:v>4.6764961342727</c:v>
                </c:pt>
                <c:pt idx="46">
                  <c:v>4.94630578221456</c:v>
                </c:pt>
                <c:pt idx="47">
                  <c:v>4.97705482402466</c:v>
                </c:pt>
                <c:pt idx="48">
                  <c:v>4.75417828442065</c:v>
                </c:pt>
                <c:pt idx="49">
                  <c:v>4.27663392658032</c:v>
                </c:pt>
                <c:pt idx="50">
                  <c:v>3.55923650513807</c:v>
                </c:pt>
                <c:pt idx="51">
                  <c:v>2.6331808837861</c:v>
                </c:pt>
                <c:pt idx="52">
                  <c:v>1.54476320997531</c:v>
                </c:pt>
                <c:pt idx="53">
                  <c:v>0.352908355151548</c:v>
                </c:pt>
                <c:pt idx="54">
                  <c:v>-0.873811967910827</c:v>
                </c:pt>
                <c:pt idx="55">
                  <c:v>-2.06050754971766</c:v>
                </c:pt>
                <c:pt idx="56">
                  <c:v>-3.13018179338209</c:v>
                </c:pt>
                <c:pt idx="57">
                  <c:v>-4.00958584144821</c:v>
                </c:pt>
                <c:pt idx="58">
                  <c:v>-4.6367989689086</c:v>
                </c:pt>
                <c:pt idx="59">
                  <c:v>-4.96927751428154</c:v>
                </c:pt>
                <c:pt idx="60">
                  <c:v>-4.98997406485398</c:v>
                </c:pt>
                <c:pt idx="61">
                  <c:v>-4.7091532528662</c:v>
                </c:pt>
                <c:pt idx="62">
                  <c:v>-4.16098300614882</c:v>
                </c:pt>
                <c:pt idx="63">
                  <c:v>-3.39607994064013</c:v>
                </c:pt>
                <c:pt idx="64">
                  <c:v>-2.47265742452658</c:v>
                </c:pt>
                <c:pt idx="65">
                  <c:v>-1.44898146093675</c:v>
                </c:pt>
                <c:pt idx="66">
                  <c:v>-0.37870377658578</c:v>
                </c:pt>
                <c:pt idx="67">
                  <c:v>0.690814493374098</c:v>
                </c:pt>
                <c:pt idx="68">
                  <c:v>1.71806086572641</c:v>
                </c:pt>
                <c:pt idx="69">
                  <c:v>2.66593474016499</c:v>
                </c:pt>
                <c:pt idx="70">
                  <c:v>3.50017489899978</c:v>
                </c:pt>
                <c:pt idx="71">
                  <c:v>4.18813240415431</c:v>
                </c:pt>
                <c:pt idx="72">
                  <c:v>4.69817708743266</c:v>
                </c:pt>
                <c:pt idx="73">
                  <c:v>5.00006954429114</c:v>
                </c:pt>
                <c:pt idx="74">
                  <c:v>5.06672676479048</c:v>
                </c:pt>
                <c:pt idx="75">
                  <c:v>4.8776744428877</c:v>
                </c:pt>
                <c:pt idx="76">
                  <c:v>4.42393463221455</c:v>
                </c:pt>
                <c:pt idx="77">
                  <c:v>3.71325873932798</c:v>
                </c:pt>
                <c:pt idx="78">
                  <c:v>2.77393081049199</c:v>
                </c:pt>
                <c:pt idx="79">
                  <c:v>1.65539148607303</c:v>
                </c:pt>
                <c:pt idx="80">
                  <c:v>0.424898962946707</c:v>
                </c:pt>
                <c:pt idx="81">
                  <c:v>-0.839063532190848</c:v>
                </c:pt>
                <c:pt idx="82">
                  <c:v>-2.05477759238647</c:v>
                </c:pt>
                <c:pt idx="83">
                  <c:v>-3.1447082565863</c:v>
                </c:pt>
                <c:pt idx="84">
                  <c:v>-4.04125343750652</c:v>
                </c:pt>
                <c:pt idx="85">
                  <c:v>-4.69085160645408</c:v>
                </c:pt>
                <c:pt idx="86">
                  <c:v>-5.05705120574829</c:v>
                </c:pt>
                <c:pt idx="87">
                  <c:v>-5.12288491094002</c:v>
                </c:pt>
                <c:pt idx="88">
                  <c:v>-4.89217152750564</c:v>
                </c:pt>
                <c:pt idx="89">
                  <c:v>-4.38889289165057</c:v>
                </c:pt>
                <c:pt idx="90">
                  <c:v>-3.65405278407677</c:v>
                </c:pt>
                <c:pt idx="91">
                  <c:v>-2.74032307649918</c:v>
                </c:pt>
                <c:pt idx="92">
                  <c:v>-1.70571747879863</c:v>
                </c:pt>
                <c:pt idx="93">
                  <c:v>-0.607880157753333</c:v>
                </c:pt>
                <c:pt idx="94">
                  <c:v>0.499840617095038</c:v>
                </c:pt>
                <c:pt idx="95">
                  <c:v>1.57020305694761</c:v>
                </c:pt>
                <c:pt idx="96">
                  <c:v>2.56217095498147</c:v>
                </c:pt>
                <c:pt idx="97">
                  <c:v>3.44001408879926</c:v>
                </c:pt>
                <c:pt idx="98">
                  <c:v>4.17203543658165</c:v>
                </c:pt>
                <c:pt idx="99">
                  <c:v>4.72933179969381</c:v>
                </c:pt>
                <c:pt idx="100">
                  <c:v>5.08490923494663</c:v>
                </c:pt>
                <c:pt idx="101">
                  <c:v>5.21360576761545</c:v>
                </c:pt>
                <c:pt idx="102">
                  <c:v>5.09346702766524</c:v>
                </c:pt>
                <c:pt idx="103">
                  <c:v>4.70916830984732</c:v>
                </c:pt>
                <c:pt idx="104">
                  <c:v>4.05750423222209</c:v>
                </c:pt>
                <c:pt idx="105">
                  <c:v>3.15386681327253</c:v>
                </c:pt>
                <c:pt idx="106">
                  <c:v>2.03744222877152</c:v>
                </c:pt>
                <c:pt idx="107">
                  <c:v>0.772384657771954</c:v>
                </c:pt>
                <c:pt idx="108">
                  <c:v>-0.556835312343933</c:v>
                </c:pt>
                <c:pt idx="109">
                  <c:v>-1.85547636217574</c:v>
                </c:pt>
                <c:pt idx="110">
                  <c:v>-3.03116336050532</c:v>
                </c:pt>
                <c:pt idx="111">
                  <c:v>-4.00528767180807</c:v>
                </c:pt>
                <c:pt idx="112">
                  <c:v>-4.7202871215959</c:v>
                </c:pt>
                <c:pt idx="113">
                  <c:v>-5.14208310654591</c:v>
                </c:pt>
                <c:pt idx="114">
                  <c:v>-5.25888351964038</c:v>
                </c:pt>
                <c:pt idx="115">
                  <c:v>-5.07826692813168</c:v>
                </c:pt>
                <c:pt idx="116">
                  <c:v>-4.62396460737025</c:v>
                </c:pt>
                <c:pt idx="117">
                  <c:v>-3.9327825182659</c:v>
                </c:pt>
                <c:pt idx="118">
                  <c:v>-3.05142645936851</c:v>
                </c:pt>
                <c:pt idx="119">
                  <c:v>-2.03294336775814</c:v>
                </c:pt>
                <c:pt idx="120">
                  <c:v>-0.932889830262057</c:v>
                </c:pt>
                <c:pt idx="121">
                  <c:v>0.194253893054818</c:v>
                </c:pt>
                <c:pt idx="122">
                  <c:v>1.29782789551834</c:v>
                </c:pt>
                <c:pt idx="123">
                  <c:v>2.33257242261966</c:v>
                </c:pt>
                <c:pt idx="124">
                  <c:v>3.25911206785966</c:v>
                </c:pt>
                <c:pt idx="125">
                  <c:v>4.04366086916577</c:v>
                </c:pt>
                <c:pt idx="126">
                  <c:v>4.65728728820167</c:v>
                </c:pt>
                <c:pt idx="127">
                  <c:v>5.07499723661054</c:v>
                </c:pt>
                <c:pt idx="128">
                  <c:v>5.27490317409464</c:v>
                </c:pt>
                <c:pt idx="129">
                  <c:v>5.23793857811493</c:v>
                </c:pt>
                <c:pt idx="130">
                  <c:v>4.94883779185064</c:v>
                </c:pt>
                <c:pt idx="131">
                  <c:v>4.39914565104033</c:v>
                </c:pt>
                <c:pt idx="132">
                  <c:v>3.59253442688642</c:v>
                </c:pt>
                <c:pt idx="133">
                  <c:v>2.55156808466704</c:v>
                </c:pt>
                <c:pt idx="134">
                  <c:v>1.32358634001575</c:v>
                </c:pt>
                <c:pt idx="135">
                  <c:v>-0.0175664241665054</c:v>
                </c:pt>
                <c:pt idx="136">
                  <c:v>-1.37664428731431</c:v>
                </c:pt>
                <c:pt idx="137">
                  <c:v>-2.64911955145883</c:v>
                </c:pt>
                <c:pt idx="138">
                  <c:v>-3.73717135486962</c:v>
                </c:pt>
                <c:pt idx="139">
                  <c:v>-4.564297356929</c:v>
                </c:pt>
                <c:pt idx="140">
                  <c:v>-5.08395053458265</c:v>
                </c:pt>
                <c:pt idx="141">
                  <c:v>-5.28057804125969</c:v>
                </c:pt>
                <c:pt idx="142">
                  <c:v>-5.16472698927984</c:v>
                </c:pt>
                <c:pt idx="143">
                  <c:v>-4.76558134605814</c:v>
                </c:pt>
                <c:pt idx="144">
                  <c:v>-4.12394365851817</c:v>
                </c:pt>
                <c:pt idx="145">
                  <c:v>-3.28714678640016</c:v>
                </c:pt>
                <c:pt idx="146">
                  <c:v>-2.30587833464353</c:v>
                </c:pt>
                <c:pt idx="147">
                  <c:v>-1.23213958857919</c:v>
                </c:pt>
                <c:pt idx="148">
                  <c:v>-0.117582879366761</c:v>
                </c:pt>
                <c:pt idx="149">
                  <c:v>0.988100170488519</c:v>
                </c:pt>
                <c:pt idx="150">
                  <c:v>2.03866511575553</c:v>
                </c:pt>
                <c:pt idx="151">
                  <c:v>2.99245953654991</c:v>
                </c:pt>
                <c:pt idx="152">
                  <c:v>3.81309980383893</c:v>
                </c:pt>
                <c:pt idx="153">
                  <c:v>4.4697017153972</c:v>
                </c:pt>
                <c:pt idx="154">
                  <c:v>4.93675874898994</c:v>
                </c:pt>
                <c:pt idx="155">
                  <c:v>5.19376740840318</c:v>
                </c:pt>
                <c:pt idx="156">
                  <c:v>5.22475772171411</c:v>
                </c:pt>
                <c:pt idx="157">
                  <c:v>5.01808838026788</c:v>
                </c:pt>
                <c:pt idx="158">
                  <c:v>4.56714633029515</c:v>
                </c:pt>
                <c:pt idx="159">
                  <c:v>3.87271175229072</c:v>
                </c:pt>
                <c:pt idx="160">
                  <c:v>2.94740395031527</c:v>
                </c:pt>
                <c:pt idx="161">
                  <c:v>1.82163288576028</c:v>
                </c:pt>
                <c:pt idx="162">
                  <c:v>0.54903529151516</c:v>
                </c:pt>
                <c:pt idx="163">
                  <c:v>-0.791802300617855</c:v>
                </c:pt>
                <c:pt idx="164">
                  <c:v>-2.1023572438209</c:v>
                </c:pt>
                <c:pt idx="165">
                  <c:v>-3.27672203830064</c:v>
                </c:pt>
                <c:pt idx="166">
                  <c:v>-4.21886963858372</c:v>
                </c:pt>
                <c:pt idx="167">
                  <c:v>-4.85890340043503</c:v>
                </c:pt>
                <c:pt idx="168">
                  <c:v>-5.16255104999251</c:v>
                </c:pt>
                <c:pt idx="169">
                  <c:v>-5.13131310685563</c:v>
                </c:pt>
                <c:pt idx="170">
                  <c:v>-4.79492249585939</c:v>
                </c:pt>
                <c:pt idx="171">
                  <c:v>-4.2004537313907</c:v>
                </c:pt>
                <c:pt idx="172">
                  <c:v>-3.40238791161151</c:v>
                </c:pt>
                <c:pt idx="173">
                  <c:v>-2.45600935993077</c:v>
                </c:pt>
                <c:pt idx="174">
                  <c:v>-1.41430294432425</c:v>
                </c:pt>
                <c:pt idx="175">
                  <c:v>-0.32717781775095</c:v>
                </c:pt>
                <c:pt idx="176">
                  <c:v>0.758406878690889</c:v>
                </c:pt>
                <c:pt idx="177">
                  <c:v>1.7983815088065</c:v>
                </c:pt>
                <c:pt idx="178">
                  <c:v>2.75190778611396</c:v>
                </c:pt>
                <c:pt idx="179">
                  <c:v>3.58202880324654</c:v>
                </c:pt>
                <c:pt idx="180">
                  <c:v>4.25640234586638</c:v>
                </c:pt>
                <c:pt idx="181">
                  <c:v>4.74795411865312</c:v>
                </c:pt>
                <c:pt idx="182">
                  <c:v>5.03537696850709</c:v>
                </c:pt>
                <c:pt idx="183">
                  <c:v>5.10344442833417</c:v>
                </c:pt>
                <c:pt idx="184">
                  <c:v>4.94315514951906</c:v>
                </c:pt>
                <c:pt idx="185">
                  <c:v>4.5518737677075</c:v>
                </c:pt>
                <c:pt idx="186">
                  <c:v>3.93388256298466</c:v>
                </c:pt>
                <c:pt idx="187">
                  <c:v>3.10193782336412</c:v>
                </c:pt>
                <c:pt idx="188">
                  <c:v>2.0802582121552</c:v>
                </c:pt>
                <c:pt idx="189">
                  <c:v>0.908652224999752</c:v>
                </c:pt>
                <c:pt idx="190">
                  <c:v>-0.353697311655848</c:v>
                </c:pt>
                <c:pt idx="191">
                  <c:v>-1.62739160420788</c:v>
                </c:pt>
                <c:pt idx="192">
                  <c:v>-2.81764352865142</c:v>
                </c:pt>
                <c:pt idx="193">
                  <c:v>-3.82585789891505</c:v>
                </c:pt>
                <c:pt idx="194">
                  <c:v>-4.56585993527782</c:v>
                </c:pt>
                <c:pt idx="195">
                  <c:v>-4.97960741317068</c:v>
                </c:pt>
                <c:pt idx="196">
                  <c:v>-5.04653495533672</c:v>
                </c:pt>
                <c:pt idx="197">
                  <c:v>-4.78328119021251</c:v>
                </c:pt>
                <c:pt idx="198">
                  <c:v>-4.23493171163314</c:v>
                </c:pt>
                <c:pt idx="199">
                  <c:v>-3.46225981202724</c:v>
                </c:pt>
                <c:pt idx="200">
                  <c:v>-2.52996881941738</c:v>
                </c:pt>
                <c:pt idx="201">
                  <c:v>-1.49902524287925</c:v>
                </c:pt>
                <c:pt idx="202">
                  <c:v>-0.423553114483459</c:v>
                </c:pt>
                <c:pt idx="203">
                  <c:v>0.649053381986852</c:v>
                </c:pt>
                <c:pt idx="204">
                  <c:v>1.67666174276622</c:v>
                </c:pt>
                <c:pt idx="205">
                  <c:v>2.62100882975265</c:v>
                </c:pt>
                <c:pt idx="206">
                  <c:v>3.44704870822265</c:v>
                </c:pt>
                <c:pt idx="207">
                  <c:v>4.12308275610323</c:v>
                </c:pt>
                <c:pt idx="208">
                  <c:v>4.62143163642959</c:v>
                </c:pt>
                <c:pt idx="209">
                  <c:v>4.919403977088</c:v>
                </c:pt>
                <c:pt idx="210">
                  <c:v>5.00040429176415</c:v>
                </c:pt>
                <c:pt idx="211">
                  <c:v>4.85505713131028</c:v>
                </c:pt>
                <c:pt idx="212">
                  <c:v>4.48220047307954</c:v>
                </c:pt>
                <c:pt idx="213">
                  <c:v>3.88962708447026</c:v>
                </c:pt>
                <c:pt idx="214">
                  <c:v>3.09461554838462</c:v>
                </c:pt>
                <c:pt idx="215">
                  <c:v>2.12452660753731</c:v>
                </c:pt>
                <c:pt idx="216">
                  <c:v>1.01781415119021</c:v>
                </c:pt>
                <c:pt idx="217">
                  <c:v>-0.174534470616219</c:v>
                </c:pt>
                <c:pt idx="218">
                  <c:v>-1.38789235131864</c:v>
                </c:pt>
                <c:pt idx="219">
                  <c:v>-2.54486210078593</c:v>
                </c:pt>
                <c:pt idx="220">
                  <c:v>-3.56005255331553</c:v>
                </c:pt>
                <c:pt idx="221">
                  <c:v>-4.34972788331311</c:v>
                </c:pt>
                <c:pt idx="222">
                  <c:v>-4.84502157639039</c:v>
                </c:pt>
                <c:pt idx="223">
                  <c:v>-5.00487487217245</c:v>
                </c:pt>
                <c:pt idx="224">
                  <c:v>-4.82383369908524</c:v>
                </c:pt>
                <c:pt idx="225">
                  <c:v>-4.3314772517721</c:v>
                </c:pt>
                <c:pt idx="226">
                  <c:v>-3.58386624494141</c:v>
                </c:pt>
                <c:pt idx="227">
                  <c:v>-2.6507507045589</c:v>
                </c:pt>
                <c:pt idx="228">
                  <c:v>-1.60336797671305</c:v>
                </c:pt>
                <c:pt idx="229">
                  <c:v>-0.50625699870925</c:v>
                </c:pt>
                <c:pt idx="230">
                  <c:v>0.586020206968269</c:v>
                </c:pt>
                <c:pt idx="231">
                  <c:v>1.62841597950048</c:v>
                </c:pt>
                <c:pt idx="232">
                  <c:v>2.58316535434374</c:v>
                </c:pt>
                <c:pt idx="233">
                  <c:v>3.41747407236495</c:v>
                </c:pt>
                <c:pt idx="234">
                  <c:v>4.10204340428872</c:v>
                </c:pt>
                <c:pt idx="235">
                  <c:v>4.61064030394165</c:v>
                </c:pt>
                <c:pt idx="236">
                  <c:v>4.92054972842456</c:v>
                </c:pt>
                <c:pt idx="237">
                  <c:v>5.01369403355416</c:v>
                </c:pt>
                <c:pt idx="238">
                  <c:v>4.87827532008312</c:v>
                </c:pt>
                <c:pt idx="239">
                  <c:v>4.51078487439744</c:v>
                </c:pt>
                <c:pt idx="240">
                  <c:v>3.91806658711446</c:v>
                </c:pt>
                <c:pt idx="241">
                  <c:v>3.11894162738318</c:v>
                </c:pt>
                <c:pt idx="242">
                  <c:v>2.14490397980481</c:v>
                </c:pt>
                <c:pt idx="243">
                  <c:v>1.03967375568635</c:v>
                </c:pt>
                <c:pt idx="244">
                  <c:v>-0.142201281321635</c:v>
                </c:pt>
                <c:pt idx="245">
                  <c:v>-1.33729868442479</c:v>
                </c:pt>
                <c:pt idx="246">
                  <c:v>-2.47566376172498</c:v>
                </c:pt>
                <c:pt idx="247">
                  <c:v>-3.48395419753502</c:v>
                </c:pt>
                <c:pt idx="248">
                  <c:v>-4.29025590021782</c:v>
                </c:pt>
                <c:pt idx="249">
                  <c:v>-4.83119719663548</c:v>
                </c:pt>
                <c:pt idx="250">
                  <c:v>-5.06081572792105</c:v>
                </c:pt>
                <c:pt idx="251">
                  <c:v>-4.95900790005629</c:v>
                </c:pt>
                <c:pt idx="252">
                  <c:v>-4.53641559839145</c:v>
                </c:pt>
                <c:pt idx="253">
                  <c:v>-3.83327860591486</c:v>
                </c:pt>
                <c:pt idx="254">
                  <c:v>-2.91207298652939</c:v>
                </c:pt>
                <c:pt idx="255">
                  <c:v>-1.84638245026183</c:v>
                </c:pt>
                <c:pt idx="256">
                  <c:v>-0.709790538440304</c:v>
                </c:pt>
                <c:pt idx="257">
                  <c:v>0.432044213841358</c:v>
                </c:pt>
                <c:pt idx="258">
                  <c:v>1.52488862696102</c:v>
                </c:pt>
                <c:pt idx="259">
                  <c:v>2.52568977293218</c:v>
                </c:pt>
                <c:pt idx="260">
                  <c:v>3.40027106254943</c:v>
                </c:pt>
                <c:pt idx="261">
                  <c:v>4.12063477168085</c:v>
                </c:pt>
                <c:pt idx="262">
                  <c:v>4.6629230651851</c:v>
                </c:pt>
                <c:pt idx="263">
                  <c:v>5.00642289986796</c:v>
                </c:pt>
                <c:pt idx="264">
                  <c:v>5.13361240932328</c:v>
                </c:pt>
                <c:pt idx="265">
                  <c:v>5.03117416142519</c:v>
                </c:pt>
                <c:pt idx="266">
                  <c:v>4.69195426355249</c:v>
                </c:pt>
                <c:pt idx="267">
                  <c:v>4.11777296505744</c:v>
                </c:pt>
                <c:pt idx="268">
                  <c:v>3.32266460333891</c:v>
                </c:pt>
                <c:pt idx="269">
                  <c:v>2.33566104846765</c:v>
                </c:pt>
                <c:pt idx="270">
                  <c:v>1.20196270353243</c:v>
                </c:pt>
                <c:pt idx="271">
                  <c:v>-0.0184124435126651</c:v>
                </c:pt>
                <c:pt idx="272">
                  <c:v>-1.2546215738372</c:v>
                </c:pt>
                <c:pt idx="273">
                  <c:v>-2.4308106415102</c:v>
                </c:pt>
                <c:pt idx="274">
                  <c:v>-3.47241943770793</c:v>
                </c:pt>
                <c:pt idx="275">
                  <c:v>-4.31189163161484</c:v>
                </c:pt>
                <c:pt idx="276">
                  <c:v>-4.89345979091708</c:v>
                </c:pt>
                <c:pt idx="277">
                  <c:v>-5.17731046224389</c:v>
                </c:pt>
                <c:pt idx="278">
                  <c:v>-5.14340962238135</c:v>
                </c:pt>
                <c:pt idx="279">
                  <c:v>-4.79457675224573</c:v>
                </c:pt>
                <c:pt idx="280">
                  <c:v>-4.15761074534745</c:v>
                </c:pt>
                <c:pt idx="281">
                  <c:v>-3.2811565888454</c:v>
                </c:pt>
                <c:pt idx="282">
                  <c:v>-2.22990818457164</c:v>
                </c:pt>
                <c:pt idx="283">
                  <c:v>-1.0762440743104</c:v>
                </c:pt>
                <c:pt idx="284">
                  <c:v>0.108459902262384</c:v>
                </c:pt>
                <c:pt idx="285">
                  <c:v>1.26054652737502</c:v>
                </c:pt>
                <c:pt idx="286">
                  <c:v>2.32754385636861</c:v>
                </c:pt>
                <c:pt idx="287">
                  <c:v>3.26848842353458</c:v>
                </c:pt>
                <c:pt idx="288">
                  <c:v>4.05219005303252</c:v>
                </c:pt>
                <c:pt idx="289">
                  <c:v>4.65476392803579</c:v>
                </c:pt>
                <c:pt idx="290">
                  <c:v>5.05742708445702</c:v>
                </c:pt>
                <c:pt idx="291">
                  <c:v>5.24506577133416</c:v>
                </c:pt>
                <c:pt idx="292">
                  <c:v>5.20576197949573</c:v>
                </c:pt>
                <c:pt idx="293">
                  <c:v>4.93141294976467</c:v>
                </c:pt>
                <c:pt idx="294">
                  <c:v>4.41963138857495</c:v>
                </c:pt>
                <c:pt idx="295">
                  <c:v>3.67700282776604</c:v>
                </c:pt>
                <c:pt idx="296">
                  <c:v>2.72330466048128</c:v>
                </c:pt>
                <c:pt idx="297">
                  <c:v>1.59552762392545</c:v>
                </c:pt>
                <c:pt idx="298">
                  <c:v>0.349888750256671</c:v>
                </c:pt>
                <c:pt idx="299">
                  <c:v>-0.939936300098635</c:v>
                </c:pt>
                <c:pt idx="300">
                  <c:v>-2.18906381211348</c:v>
                </c:pt>
                <c:pt idx="301">
                  <c:v>-3.31106006015076</c:v>
                </c:pt>
                <c:pt idx="302">
                  <c:v>-4.22841863332811</c:v>
                </c:pt>
                <c:pt idx="303">
                  <c:v>-4.88099771490685</c:v>
                </c:pt>
                <c:pt idx="304">
                  <c:v>-5.23070374100694</c:v>
                </c:pt>
                <c:pt idx="305">
                  <c:v>-5.26246556733462</c:v>
                </c:pt>
                <c:pt idx="306">
                  <c:v>-4.98278305906005</c:v>
                </c:pt>
                <c:pt idx="307">
                  <c:v>-4.41725873459038</c:v>
                </c:pt>
                <c:pt idx="308">
                  <c:v>-3.60778527652392</c:v>
                </c:pt>
                <c:pt idx="309">
                  <c:v>-2.60922494694491</c:v>
                </c:pt>
                <c:pt idx="310">
                  <c:v>-1.48513794857658</c:v>
                </c:pt>
                <c:pt idx="311">
                  <c:v>-0.302534309950928</c:v>
                </c:pt>
                <c:pt idx="312">
                  <c:v>0.873659560287865</c:v>
                </c:pt>
                <c:pt idx="313">
                  <c:v>1.98529839576314</c:v>
                </c:pt>
                <c:pt idx="314">
                  <c:v>2.98393989014156</c:v>
                </c:pt>
                <c:pt idx="315">
                  <c:v>3.83170292490891</c:v>
                </c:pt>
                <c:pt idx="316">
                  <c:v>4.50046322890944</c:v>
                </c:pt>
                <c:pt idx="317">
                  <c:v>4.97014765067921</c:v>
                </c:pt>
                <c:pt idx="318">
                  <c:v>5.22685332577956</c:v>
                </c:pt>
                <c:pt idx="319">
                  <c:v>5.26128639995129</c:v>
                </c:pt>
                <c:pt idx="320">
                  <c:v>5.06784368971004</c:v>
                </c:pt>
                <c:pt idx="321">
                  <c:v>4.64466565311599</c:v>
                </c:pt>
                <c:pt idx="322">
                  <c:v>3.99506772715678</c:v>
                </c:pt>
                <c:pt idx="323">
                  <c:v>3.13065461451838</c:v>
                </c:pt>
                <c:pt idx="324">
                  <c:v>2.07589954900839</c:v>
                </c:pt>
                <c:pt idx="325">
                  <c:v>0.873012412437264</c:v>
                </c:pt>
                <c:pt idx="326">
                  <c:v>-0.415101233019352</c:v>
                </c:pt>
                <c:pt idx="327">
                  <c:v>-1.70634060414147</c:v>
                </c:pt>
                <c:pt idx="328">
                  <c:v>-2.9068979867014</c:v>
                </c:pt>
                <c:pt idx="329">
                  <c:v>-3.92387172256173</c:v>
                </c:pt>
                <c:pt idx="330">
                  <c:v>-4.67951083618171</c:v>
                </c:pt>
                <c:pt idx="331">
                  <c:v>-5.122446277896</c:v>
                </c:pt>
                <c:pt idx="332">
                  <c:v>-5.23253542446183</c:v>
                </c:pt>
                <c:pt idx="333">
                  <c:v>-5.0188883045079</c:v>
                </c:pt>
                <c:pt idx="334">
                  <c:v>-4.51336231357037</c:v>
                </c:pt>
                <c:pt idx="335">
                  <c:v>-3.76281077886549</c:v>
                </c:pt>
                <c:pt idx="336">
                  <c:v>-2.82254887951721</c:v>
                </c:pt>
                <c:pt idx="337">
                  <c:v>-1.75186232152031</c:v>
                </c:pt>
                <c:pt idx="338">
                  <c:v>-0.611066297854834</c:v>
                </c:pt>
                <c:pt idx="339">
                  <c:v>0.540815026894765</c:v>
                </c:pt>
                <c:pt idx="340">
                  <c:v>1.64835048811211</c:v>
                </c:pt>
                <c:pt idx="341">
                  <c:v>2.66198501452097</c:v>
                </c:pt>
                <c:pt idx="342">
                  <c:v>3.53990295244333</c:v>
                </c:pt>
                <c:pt idx="343">
                  <c:v>4.24906854468358</c:v>
                </c:pt>
                <c:pt idx="344">
                  <c:v>4.76531880668998</c:v>
                </c:pt>
                <c:pt idx="345">
                  <c:v>5.07268333694802</c:v>
                </c:pt>
                <c:pt idx="346">
                  <c:v>5.16225051110133</c:v>
                </c:pt>
                <c:pt idx="347">
                  <c:v>5.03090459379416</c:v>
                </c:pt>
                <c:pt idx="348">
                  <c:v>4.68025889221331</c:v>
                </c:pt>
                <c:pt idx="349">
                  <c:v>4.11620295361598</c:v>
                </c:pt>
                <c:pt idx="350">
                  <c:v>3.34960808902081</c:v>
                </c:pt>
                <c:pt idx="351">
                  <c:v>2.39868530073861</c:v>
                </c:pt>
                <c:pt idx="352">
                  <c:v>1.29302331416126</c:v>
                </c:pt>
                <c:pt idx="353">
                  <c:v>0.0783686940809536</c:v>
                </c:pt>
                <c:pt idx="354">
                  <c:v>-1.1799899110254</c:v>
                </c:pt>
                <c:pt idx="355">
                  <c:v>-2.39810509149876</c:v>
                </c:pt>
                <c:pt idx="356">
                  <c:v>-3.48075713715624</c:v>
                </c:pt>
                <c:pt idx="357">
                  <c:v>-4.33515782288436</c:v>
                </c:pt>
                <c:pt idx="358">
                  <c:v>-4.88743482972885</c:v>
                </c:pt>
                <c:pt idx="359">
                  <c:v>-5.09614359973514</c:v>
                </c:pt>
                <c:pt idx="360">
                  <c:v>-4.95780933667567</c:v>
                </c:pt>
                <c:pt idx="361">
                  <c:v>-4.50308691148224</c:v>
                </c:pt>
                <c:pt idx="362">
                  <c:v>-3.78626290749168</c:v>
                </c:pt>
                <c:pt idx="363">
                  <c:v>-2.87296297525442</c:v>
                </c:pt>
                <c:pt idx="364">
                  <c:v>-1.8302473703225</c:v>
                </c:pt>
                <c:pt idx="365">
                  <c:v>-0.720909893957177</c:v>
                </c:pt>
              </c:numCache>
            </c:numRef>
          </c:yVal>
          <c:smooth val="0"/>
        </c:ser>
        <c:axId val="42270150"/>
        <c:axId val="88388871"/>
      </c:scatterChart>
      <c:valAx>
        <c:axId val="42270150"/>
        <c:scaling>
          <c:orientation val="minMax"/>
          <c:max val="366"/>
          <c:min val="1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76733222407099"/>
              <c:y val="0.414397496087637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8388871"/>
        <c:crosses val="autoZero"/>
        <c:crossBetween val="midCat"/>
        <c:majorUnit val="30"/>
      </c:valAx>
      <c:valAx>
        <c:axId val="88388871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solidFill>
                      <a:srgbClr val="0000ff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ff"/>
                    </a:solidFill>
                    <a:latin typeface="Calibri"/>
                  </a:rPr>
                  <a:t>Bm</a:t>
                </a:r>
              </a:p>
            </c:rich>
          </c:tx>
          <c:layout>
            <c:manualLayout>
              <c:xMode val="edge"/>
              <c:yMode val="edge"/>
              <c:x val="0.0622111295988168"/>
              <c:y val="0.0413145539906103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2270150"/>
        <c:crosses val="autoZero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2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200" spc="-1" strike="noStrike">
                <a:solidFill>
                  <a:srgbClr val="000000"/>
                </a:solidFill>
                <a:latin typeface="Calibri"/>
              </a:rPr>
              <a:t>10*Bm</a:t>
            </a:r>
          </a:p>
        </c:rich>
      </c:tx>
      <c:layout>
        <c:manualLayout>
          <c:xMode val="edge"/>
          <c:yMode val="edge"/>
          <c:x val="0.00879046253678413"/>
          <c:y val="0.609749670619236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78336980306346"/>
          <c:y val="0.0300395256916996"/>
          <c:w val="0.920244472949521"/>
          <c:h val="0.86133069828722"/>
        </c:manualLayout>
      </c:layout>
      <c:scatterChart>
        <c:scatterStyle val="line"/>
        <c:varyColors val="0"/>
        <c:ser>
          <c:idx val="0"/>
          <c:order val="0"/>
          <c:spPr>
            <a:noFill/>
            <a:ln cap="rnd" w="180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sol_ecl!$E$2:$E$367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sol_ecl!$G$2:$G$367</c:f>
              <c:numCache>
                <c:formatCode>General</c:formatCode>
                <c:ptCount val="366"/>
                <c:pt idx="1">
                  <c:v>281.621480852784</c:v>
                </c:pt>
                <c:pt idx="2">
                  <c:v>282.607128216541</c:v>
                </c:pt>
                <c:pt idx="3">
                  <c:v>283.592775580299</c:v>
                </c:pt>
                <c:pt idx="4">
                  <c:v>284.578422944058</c:v>
                </c:pt>
                <c:pt idx="5">
                  <c:v>285.564070307815</c:v>
                </c:pt>
                <c:pt idx="6">
                  <c:v>286.549717671578</c:v>
                </c:pt>
                <c:pt idx="7">
                  <c:v>287.535365035335</c:v>
                </c:pt>
                <c:pt idx="8">
                  <c:v>288.521012399095</c:v>
                </c:pt>
                <c:pt idx="9">
                  <c:v>289.506659762856</c:v>
                </c:pt>
                <c:pt idx="10">
                  <c:v>290.492307126617</c:v>
                </c:pt>
                <c:pt idx="11">
                  <c:v>291.477954490376</c:v>
                </c:pt>
                <c:pt idx="12">
                  <c:v>292.463601854137</c:v>
                </c:pt>
                <c:pt idx="13">
                  <c:v>293.4492492179</c:v>
                </c:pt>
                <c:pt idx="14">
                  <c:v>294.434896581663</c:v>
                </c:pt>
                <c:pt idx="15">
                  <c:v>295.420543945425</c:v>
                </c:pt>
                <c:pt idx="16">
                  <c:v>296.406191309188</c:v>
                </c:pt>
                <c:pt idx="17">
                  <c:v>297.391838672953</c:v>
                </c:pt>
                <c:pt idx="18">
                  <c:v>298.377486036719</c:v>
                </c:pt>
                <c:pt idx="19">
                  <c:v>299.363133400482</c:v>
                </c:pt>
                <c:pt idx="20">
                  <c:v>300.348780764247</c:v>
                </c:pt>
                <c:pt idx="21">
                  <c:v>301.334428128012</c:v>
                </c:pt>
                <c:pt idx="22">
                  <c:v>302.320075491778</c:v>
                </c:pt>
                <c:pt idx="23">
                  <c:v>303.305722855544</c:v>
                </c:pt>
                <c:pt idx="24">
                  <c:v>304.291370219311</c:v>
                </c:pt>
                <c:pt idx="25">
                  <c:v>305.277017583079</c:v>
                </c:pt>
                <c:pt idx="26">
                  <c:v>306.262664946848</c:v>
                </c:pt>
                <c:pt idx="27">
                  <c:v>307.248312310616</c:v>
                </c:pt>
                <c:pt idx="28">
                  <c:v>308.233959674384</c:v>
                </c:pt>
                <c:pt idx="29">
                  <c:v>309.219607038156</c:v>
                </c:pt>
                <c:pt idx="30">
                  <c:v>310.205254401926</c:v>
                </c:pt>
                <c:pt idx="31">
                  <c:v>311.190901765694</c:v>
                </c:pt>
                <c:pt idx="32">
                  <c:v>312.176549129466</c:v>
                </c:pt>
                <c:pt idx="33">
                  <c:v>313.162196493237</c:v>
                </c:pt>
                <c:pt idx="34">
                  <c:v>314.14784385701</c:v>
                </c:pt>
                <c:pt idx="35">
                  <c:v>315.13349122078</c:v>
                </c:pt>
                <c:pt idx="36">
                  <c:v>316.119138584554</c:v>
                </c:pt>
                <c:pt idx="37">
                  <c:v>317.104785948326</c:v>
                </c:pt>
                <c:pt idx="38">
                  <c:v>318.0904333121</c:v>
                </c:pt>
                <c:pt idx="39">
                  <c:v>319.076080675874</c:v>
                </c:pt>
                <c:pt idx="40">
                  <c:v>320.061728039647</c:v>
                </c:pt>
                <c:pt idx="41">
                  <c:v>321.047375403421</c:v>
                </c:pt>
                <c:pt idx="42">
                  <c:v>322.033022767197</c:v>
                </c:pt>
                <c:pt idx="43">
                  <c:v>323.018670130972</c:v>
                </c:pt>
                <c:pt idx="44">
                  <c:v>324.00431749475</c:v>
                </c:pt>
                <c:pt idx="45">
                  <c:v>324.989964858525</c:v>
                </c:pt>
                <c:pt idx="46">
                  <c:v>325.975612222304</c:v>
                </c:pt>
                <c:pt idx="47">
                  <c:v>326.96125958608</c:v>
                </c:pt>
                <c:pt idx="48">
                  <c:v>327.946906949859</c:v>
                </c:pt>
                <c:pt idx="49">
                  <c:v>328.932554313638</c:v>
                </c:pt>
                <c:pt idx="50">
                  <c:v>329.918201677416</c:v>
                </c:pt>
                <c:pt idx="51">
                  <c:v>330.903849041195</c:v>
                </c:pt>
                <c:pt idx="52">
                  <c:v>331.889496404974</c:v>
                </c:pt>
                <c:pt idx="53">
                  <c:v>332.875143768757</c:v>
                </c:pt>
                <c:pt idx="54">
                  <c:v>333.860791132536</c:v>
                </c:pt>
                <c:pt idx="55">
                  <c:v>334.846438496319</c:v>
                </c:pt>
                <c:pt idx="56">
                  <c:v>335.832085860098</c:v>
                </c:pt>
                <c:pt idx="57">
                  <c:v>336.817733223883</c:v>
                </c:pt>
                <c:pt idx="58">
                  <c:v>337.803380587666</c:v>
                </c:pt>
                <c:pt idx="59">
                  <c:v>338.789027951449</c:v>
                </c:pt>
                <c:pt idx="60">
                  <c:v>339.77467531523</c:v>
                </c:pt>
                <c:pt idx="61">
                  <c:v>340.760322679014</c:v>
                </c:pt>
                <c:pt idx="62">
                  <c:v>341.745970042799</c:v>
                </c:pt>
                <c:pt idx="63">
                  <c:v>342.731617406584</c:v>
                </c:pt>
                <c:pt idx="64">
                  <c:v>343.717264770368</c:v>
                </c:pt>
                <c:pt idx="65">
                  <c:v>344.702912134155</c:v>
                </c:pt>
                <c:pt idx="66">
                  <c:v>345.688559497939</c:v>
                </c:pt>
                <c:pt idx="67">
                  <c:v>346.674206861728</c:v>
                </c:pt>
                <c:pt idx="68">
                  <c:v>347.659854225512</c:v>
                </c:pt>
                <c:pt idx="69">
                  <c:v>348.645501589303</c:v>
                </c:pt>
                <c:pt idx="70">
                  <c:v>349.631148953089</c:v>
                </c:pt>
                <c:pt idx="71">
                  <c:v>350.616796316877</c:v>
                </c:pt>
                <c:pt idx="72">
                  <c:v>351.602443680666</c:v>
                </c:pt>
                <c:pt idx="73">
                  <c:v>352.588091044456</c:v>
                </c:pt>
                <c:pt idx="74">
                  <c:v>353.573738408248</c:v>
                </c:pt>
                <c:pt idx="75">
                  <c:v>354.559385772038</c:v>
                </c:pt>
                <c:pt idx="76">
                  <c:v>355.545033135828</c:v>
                </c:pt>
                <c:pt idx="77">
                  <c:v>356.53068049962</c:v>
                </c:pt>
                <c:pt idx="78">
                  <c:v>357.516327863412</c:v>
                </c:pt>
                <c:pt idx="79">
                  <c:v>358.501975227204</c:v>
                </c:pt>
                <c:pt idx="80">
                  <c:v>359.487622590994</c:v>
                </c:pt>
                <c:pt idx="82">
                  <c:v>1.45891731857955</c:v>
                </c:pt>
                <c:pt idx="83">
                  <c:v>2.44456468237513</c:v>
                </c:pt>
                <c:pt idx="84">
                  <c:v>3.43021204616889</c:v>
                </c:pt>
                <c:pt idx="85">
                  <c:v>4.41585940996447</c:v>
                </c:pt>
                <c:pt idx="86">
                  <c:v>5.40150677376005</c:v>
                </c:pt>
                <c:pt idx="87">
                  <c:v>6.38715413755563</c:v>
                </c:pt>
                <c:pt idx="88">
                  <c:v>7.37280150135121</c:v>
                </c:pt>
                <c:pt idx="89">
                  <c:v>8.3584488651486</c:v>
                </c:pt>
                <c:pt idx="90">
                  <c:v>9.34409622894418</c:v>
                </c:pt>
                <c:pt idx="91">
                  <c:v>10.3297435927416</c:v>
                </c:pt>
                <c:pt idx="92">
                  <c:v>11.315390956539</c:v>
                </c:pt>
                <c:pt idx="93">
                  <c:v>12.3010383203382</c:v>
                </c:pt>
                <c:pt idx="94">
                  <c:v>13.2866856841374</c:v>
                </c:pt>
                <c:pt idx="95">
                  <c:v>14.2723330479384</c:v>
                </c:pt>
                <c:pt idx="96">
                  <c:v>15.257980411734</c:v>
                </c:pt>
                <c:pt idx="97">
                  <c:v>16.2436277755387</c:v>
                </c:pt>
                <c:pt idx="98">
                  <c:v>17.2292751393397</c:v>
                </c:pt>
                <c:pt idx="99">
                  <c:v>18.2149225031408</c:v>
                </c:pt>
                <c:pt idx="100">
                  <c:v>19.20056986694</c:v>
                </c:pt>
                <c:pt idx="101">
                  <c:v>20.1862172307428</c:v>
                </c:pt>
                <c:pt idx="102">
                  <c:v>21.1718645945457</c:v>
                </c:pt>
                <c:pt idx="103">
                  <c:v>22.1575119583486</c:v>
                </c:pt>
                <c:pt idx="104">
                  <c:v>23.1431593221514</c:v>
                </c:pt>
                <c:pt idx="105">
                  <c:v>24.1288066859543</c:v>
                </c:pt>
                <c:pt idx="106">
                  <c:v>25.1144540497608</c:v>
                </c:pt>
                <c:pt idx="107">
                  <c:v>26.1001014135654</c:v>
                </c:pt>
                <c:pt idx="108">
                  <c:v>27.0857487773701</c:v>
                </c:pt>
                <c:pt idx="109">
                  <c:v>28.0713961411748</c:v>
                </c:pt>
                <c:pt idx="110">
                  <c:v>29.0570435049813</c:v>
                </c:pt>
                <c:pt idx="111">
                  <c:v>30.0426908687859</c:v>
                </c:pt>
                <c:pt idx="112">
                  <c:v>31.0283382325943</c:v>
                </c:pt>
                <c:pt idx="113">
                  <c:v>32.0139855964007</c:v>
                </c:pt>
                <c:pt idx="114">
                  <c:v>32.9996329602109</c:v>
                </c:pt>
                <c:pt idx="115">
                  <c:v>33.9852803240174</c:v>
                </c:pt>
                <c:pt idx="116">
                  <c:v>34.9709276878275</c:v>
                </c:pt>
                <c:pt idx="117">
                  <c:v>35.9565750516358</c:v>
                </c:pt>
                <c:pt idx="118">
                  <c:v>36.9422224154478</c:v>
                </c:pt>
                <c:pt idx="119">
                  <c:v>37.9278697792579</c:v>
                </c:pt>
                <c:pt idx="120">
                  <c:v>38.913517143068</c:v>
                </c:pt>
                <c:pt idx="121">
                  <c:v>39.89916450688</c:v>
                </c:pt>
                <c:pt idx="122">
                  <c:v>40.8848118706919</c:v>
                </c:pt>
                <c:pt idx="123">
                  <c:v>41.8704592345039</c:v>
                </c:pt>
                <c:pt idx="124">
                  <c:v>42.8561065983158</c:v>
                </c:pt>
                <c:pt idx="125">
                  <c:v>43.8417539621278</c:v>
                </c:pt>
                <c:pt idx="126">
                  <c:v>44.8274013259434</c:v>
                </c:pt>
                <c:pt idx="127">
                  <c:v>45.8130486897553</c:v>
                </c:pt>
                <c:pt idx="128">
                  <c:v>46.7986960535709</c:v>
                </c:pt>
                <c:pt idx="129">
                  <c:v>47.7843434173847</c:v>
                </c:pt>
                <c:pt idx="130">
                  <c:v>48.7699907812003</c:v>
                </c:pt>
                <c:pt idx="131">
                  <c:v>49.755638145014</c:v>
                </c:pt>
                <c:pt idx="132">
                  <c:v>50.7412855088314</c:v>
                </c:pt>
                <c:pt idx="133">
                  <c:v>51.726932872647</c:v>
                </c:pt>
                <c:pt idx="134">
                  <c:v>52.7125802364662</c:v>
                </c:pt>
                <c:pt idx="135">
                  <c:v>53.6982276002836</c:v>
                </c:pt>
                <c:pt idx="136">
                  <c:v>54.6838749641011</c:v>
                </c:pt>
                <c:pt idx="137">
                  <c:v>55.6695223279203</c:v>
                </c:pt>
                <c:pt idx="138">
                  <c:v>56.6551696917395</c:v>
                </c:pt>
                <c:pt idx="139">
                  <c:v>57.6408170555569</c:v>
                </c:pt>
                <c:pt idx="140">
                  <c:v>58.6264644193761</c:v>
                </c:pt>
                <c:pt idx="141">
                  <c:v>59.6121117831972</c:v>
                </c:pt>
                <c:pt idx="142">
                  <c:v>60.59775914702</c:v>
                </c:pt>
                <c:pt idx="143">
                  <c:v>61.5834065108393</c:v>
                </c:pt>
                <c:pt idx="144">
                  <c:v>62.5690538746621</c:v>
                </c:pt>
                <c:pt idx="145">
                  <c:v>63.5547012384832</c:v>
                </c:pt>
                <c:pt idx="146">
                  <c:v>64.5403486023079</c:v>
                </c:pt>
                <c:pt idx="147">
                  <c:v>65.5259959661307</c:v>
                </c:pt>
                <c:pt idx="148">
                  <c:v>66.5116433299536</c:v>
                </c:pt>
                <c:pt idx="149">
                  <c:v>67.4972906937765</c:v>
                </c:pt>
                <c:pt idx="150">
                  <c:v>68.4829380576011</c:v>
                </c:pt>
                <c:pt idx="151">
                  <c:v>69.4685854214258</c:v>
                </c:pt>
                <c:pt idx="152">
                  <c:v>70.4542327852505</c:v>
                </c:pt>
                <c:pt idx="153">
                  <c:v>71.439880149077</c:v>
                </c:pt>
                <c:pt idx="154">
                  <c:v>72.4255275129035</c:v>
                </c:pt>
                <c:pt idx="155">
                  <c:v>73.4111748767282</c:v>
                </c:pt>
                <c:pt idx="156">
                  <c:v>74.3968222405565</c:v>
                </c:pt>
                <c:pt idx="157">
                  <c:v>75.382469604383</c:v>
                </c:pt>
                <c:pt idx="158">
                  <c:v>76.3681169682131</c:v>
                </c:pt>
                <c:pt idx="159">
                  <c:v>77.3537643320397</c:v>
                </c:pt>
                <c:pt idx="160">
                  <c:v>78.339411695868</c:v>
                </c:pt>
                <c:pt idx="161">
                  <c:v>79.3250590596981</c:v>
                </c:pt>
                <c:pt idx="162">
                  <c:v>80.3107064235283</c:v>
                </c:pt>
                <c:pt idx="163">
                  <c:v>81.2963537873602</c:v>
                </c:pt>
                <c:pt idx="164">
                  <c:v>82.2820011511903</c:v>
                </c:pt>
                <c:pt idx="165">
                  <c:v>83.2676485150223</c:v>
                </c:pt>
                <c:pt idx="166">
                  <c:v>84.2532958788524</c:v>
                </c:pt>
                <c:pt idx="167">
                  <c:v>85.2389432426862</c:v>
                </c:pt>
                <c:pt idx="168">
                  <c:v>86.2245906065182</c:v>
                </c:pt>
                <c:pt idx="169">
                  <c:v>87.2102379703501</c:v>
                </c:pt>
                <c:pt idx="170">
                  <c:v>88.1958853341821</c:v>
                </c:pt>
                <c:pt idx="171">
                  <c:v>89.1815326980159</c:v>
                </c:pt>
                <c:pt idx="172">
                  <c:v>90.1671800618515</c:v>
                </c:pt>
                <c:pt idx="173">
                  <c:v>91.1528274256853</c:v>
                </c:pt>
                <c:pt idx="174">
                  <c:v>92.1384747895208</c:v>
                </c:pt>
                <c:pt idx="175">
                  <c:v>93.1241221533583</c:v>
                </c:pt>
                <c:pt idx="176">
                  <c:v>94.1097695171939</c:v>
                </c:pt>
                <c:pt idx="177">
                  <c:v>95.0954168810313</c:v>
                </c:pt>
                <c:pt idx="178">
                  <c:v>96.0810642448669</c:v>
                </c:pt>
                <c:pt idx="179">
                  <c:v>97.0667116087043</c:v>
                </c:pt>
                <c:pt idx="180">
                  <c:v>98.0523589725417</c:v>
                </c:pt>
                <c:pt idx="181">
                  <c:v>99.0380063363809</c:v>
                </c:pt>
                <c:pt idx="182">
                  <c:v>100.023653700218</c:v>
                </c:pt>
                <c:pt idx="183">
                  <c:v>101.009301064059</c:v>
                </c:pt>
                <c:pt idx="184">
                  <c:v>101.994948427899</c:v>
                </c:pt>
                <c:pt idx="185">
                  <c:v>102.98059579174</c:v>
                </c:pt>
                <c:pt idx="186">
                  <c:v>103.966243155581</c:v>
                </c:pt>
                <c:pt idx="187">
                  <c:v>104.951890519424</c:v>
                </c:pt>
                <c:pt idx="188">
                  <c:v>105.937537883265</c:v>
                </c:pt>
                <c:pt idx="189">
                  <c:v>106.923185247106</c:v>
                </c:pt>
                <c:pt idx="190">
                  <c:v>107.908832610947</c:v>
                </c:pt>
                <c:pt idx="191">
                  <c:v>108.894479974791</c:v>
                </c:pt>
                <c:pt idx="192">
                  <c:v>109.880127338634</c:v>
                </c:pt>
                <c:pt idx="193">
                  <c:v>110.865774702479</c:v>
                </c:pt>
                <c:pt idx="194">
                  <c:v>111.851422066322</c:v>
                </c:pt>
                <c:pt idx="195">
                  <c:v>112.837069430168</c:v>
                </c:pt>
                <c:pt idx="196">
                  <c:v>113.822716794013</c:v>
                </c:pt>
                <c:pt idx="197">
                  <c:v>114.80836415786</c:v>
                </c:pt>
                <c:pt idx="198">
                  <c:v>115.794011521704</c:v>
                </c:pt>
                <c:pt idx="199">
                  <c:v>116.779658885551</c:v>
                </c:pt>
                <c:pt idx="200">
                  <c:v>117.765306249397</c:v>
                </c:pt>
                <c:pt idx="201">
                  <c:v>118.750953613246</c:v>
                </c:pt>
                <c:pt idx="202">
                  <c:v>119.736600977092</c:v>
                </c:pt>
                <c:pt idx="203">
                  <c:v>120.722248340942</c:v>
                </c:pt>
                <c:pt idx="204">
                  <c:v>121.707895704791</c:v>
                </c:pt>
                <c:pt idx="205">
                  <c:v>122.693543068641</c:v>
                </c:pt>
                <c:pt idx="206">
                  <c:v>123.679190432489</c:v>
                </c:pt>
                <c:pt idx="207">
                  <c:v>124.664837796343</c:v>
                </c:pt>
                <c:pt idx="208">
                  <c:v>125.650485160191</c:v>
                </c:pt>
                <c:pt idx="209">
                  <c:v>126.636132524043</c:v>
                </c:pt>
                <c:pt idx="210">
                  <c:v>127.621779887895</c:v>
                </c:pt>
                <c:pt idx="211">
                  <c:v>128.607427251747</c:v>
                </c:pt>
                <c:pt idx="212">
                  <c:v>129.593074615599</c:v>
                </c:pt>
                <c:pt idx="213">
                  <c:v>130.578721979451</c:v>
                </c:pt>
                <c:pt idx="214">
                  <c:v>131.564369343305</c:v>
                </c:pt>
                <c:pt idx="215">
                  <c:v>132.55001670716</c:v>
                </c:pt>
                <c:pt idx="216">
                  <c:v>133.535664071012</c:v>
                </c:pt>
                <c:pt idx="217">
                  <c:v>134.521311434868</c:v>
                </c:pt>
                <c:pt idx="218">
                  <c:v>135.506958798724</c:v>
                </c:pt>
                <c:pt idx="219">
                  <c:v>136.492606162577</c:v>
                </c:pt>
                <c:pt idx="220">
                  <c:v>137.478253526433</c:v>
                </c:pt>
                <c:pt idx="221">
                  <c:v>138.46390089029</c:v>
                </c:pt>
                <c:pt idx="222">
                  <c:v>139.449548254148</c:v>
                </c:pt>
                <c:pt idx="223">
                  <c:v>140.435195618005</c:v>
                </c:pt>
                <c:pt idx="224">
                  <c:v>141.420842981865</c:v>
                </c:pt>
                <c:pt idx="225">
                  <c:v>142.406490345722</c:v>
                </c:pt>
                <c:pt idx="226">
                  <c:v>143.392137709583</c:v>
                </c:pt>
                <c:pt idx="227">
                  <c:v>144.37778507344</c:v>
                </c:pt>
                <c:pt idx="228">
                  <c:v>145.363432437302</c:v>
                </c:pt>
                <c:pt idx="229">
                  <c:v>146.349079801161</c:v>
                </c:pt>
                <c:pt idx="230">
                  <c:v>147.334727165022</c:v>
                </c:pt>
                <c:pt idx="231">
                  <c:v>148.320374528883</c:v>
                </c:pt>
                <c:pt idx="232">
                  <c:v>149.306021892744</c:v>
                </c:pt>
                <c:pt idx="233">
                  <c:v>150.291669256607</c:v>
                </c:pt>
                <c:pt idx="234">
                  <c:v>151.27731662047</c:v>
                </c:pt>
                <c:pt idx="235">
                  <c:v>152.262963984333</c:v>
                </c:pt>
                <c:pt idx="236">
                  <c:v>153.248611348195</c:v>
                </c:pt>
                <c:pt idx="237">
                  <c:v>154.23425871206</c:v>
                </c:pt>
                <c:pt idx="238">
                  <c:v>155.219906075925</c:v>
                </c:pt>
                <c:pt idx="239">
                  <c:v>156.205553439788</c:v>
                </c:pt>
                <c:pt idx="240">
                  <c:v>157.191200803654</c:v>
                </c:pt>
                <c:pt idx="241">
                  <c:v>158.176848167519</c:v>
                </c:pt>
                <c:pt idx="242">
                  <c:v>159.162495531386</c:v>
                </c:pt>
                <c:pt idx="243">
                  <c:v>160.148142895252</c:v>
                </c:pt>
                <c:pt idx="244">
                  <c:v>161.133790259119</c:v>
                </c:pt>
                <c:pt idx="245">
                  <c:v>162.119437622987</c:v>
                </c:pt>
                <c:pt idx="246">
                  <c:v>163.105084986853</c:v>
                </c:pt>
                <c:pt idx="247">
                  <c:v>164.090732350724</c:v>
                </c:pt>
                <c:pt idx="248">
                  <c:v>165.076379714592</c:v>
                </c:pt>
                <c:pt idx="249">
                  <c:v>166.06202707846</c:v>
                </c:pt>
                <c:pt idx="250">
                  <c:v>167.04767444233</c:v>
                </c:pt>
                <c:pt idx="251">
                  <c:v>168.033321806202</c:v>
                </c:pt>
                <c:pt idx="252">
                  <c:v>169.018969170074</c:v>
                </c:pt>
                <c:pt idx="253">
                  <c:v>170.004616533945</c:v>
                </c:pt>
                <c:pt idx="254">
                  <c:v>170.990263897816</c:v>
                </c:pt>
                <c:pt idx="255">
                  <c:v>171.975911261688</c:v>
                </c:pt>
                <c:pt idx="256">
                  <c:v>172.961558625562</c:v>
                </c:pt>
                <c:pt idx="257">
                  <c:v>173.947205989434</c:v>
                </c:pt>
                <c:pt idx="258">
                  <c:v>174.932853353306</c:v>
                </c:pt>
                <c:pt idx="259">
                  <c:v>175.91850071718</c:v>
                </c:pt>
                <c:pt idx="260">
                  <c:v>176.904148081054</c:v>
                </c:pt>
                <c:pt idx="261">
                  <c:v>177.889795444929</c:v>
                </c:pt>
                <c:pt idx="262">
                  <c:v>178.875442808803</c:v>
                </c:pt>
                <c:pt idx="263">
                  <c:v>179.861090172681</c:v>
                </c:pt>
                <c:pt idx="264">
                  <c:v>180.846737536558</c:v>
                </c:pt>
                <c:pt idx="265">
                  <c:v>181.832384900434</c:v>
                </c:pt>
                <c:pt idx="266">
                  <c:v>182.818032264311</c:v>
                </c:pt>
                <c:pt idx="267">
                  <c:v>183.803679628189</c:v>
                </c:pt>
                <c:pt idx="268">
                  <c:v>184.789326992064</c:v>
                </c:pt>
                <c:pt idx="269">
                  <c:v>185.774974355943</c:v>
                </c:pt>
                <c:pt idx="270">
                  <c:v>186.760621719823</c:v>
                </c:pt>
                <c:pt idx="271">
                  <c:v>187.746269083702</c:v>
                </c:pt>
                <c:pt idx="272">
                  <c:v>188.731916447581</c:v>
                </c:pt>
                <c:pt idx="273">
                  <c:v>189.717563811462</c:v>
                </c:pt>
                <c:pt idx="274">
                  <c:v>190.703211175343</c:v>
                </c:pt>
                <c:pt idx="275">
                  <c:v>191.688858539224</c:v>
                </c:pt>
                <c:pt idx="276">
                  <c:v>192.674505903105</c:v>
                </c:pt>
                <c:pt idx="277">
                  <c:v>193.660153266988</c:v>
                </c:pt>
                <c:pt idx="278">
                  <c:v>194.645800630871</c:v>
                </c:pt>
                <c:pt idx="279">
                  <c:v>195.631447994752</c:v>
                </c:pt>
                <c:pt idx="280">
                  <c:v>196.617095358637</c:v>
                </c:pt>
                <c:pt idx="281">
                  <c:v>197.60274272252</c:v>
                </c:pt>
                <c:pt idx="282">
                  <c:v>198.588390086406</c:v>
                </c:pt>
                <c:pt idx="283">
                  <c:v>199.574037450289</c:v>
                </c:pt>
                <c:pt idx="284">
                  <c:v>200.559684814176</c:v>
                </c:pt>
                <c:pt idx="285">
                  <c:v>201.545332178061</c:v>
                </c:pt>
                <c:pt idx="286">
                  <c:v>202.530979541949</c:v>
                </c:pt>
                <c:pt idx="287">
                  <c:v>203.516626905834</c:v>
                </c:pt>
                <c:pt idx="288">
                  <c:v>204.50227426972</c:v>
                </c:pt>
                <c:pt idx="289">
                  <c:v>205.487921633607</c:v>
                </c:pt>
                <c:pt idx="290">
                  <c:v>206.473568997493</c:v>
                </c:pt>
                <c:pt idx="291">
                  <c:v>207.459216361383</c:v>
                </c:pt>
                <c:pt idx="292">
                  <c:v>208.444863725274</c:v>
                </c:pt>
                <c:pt idx="293">
                  <c:v>209.430511089164</c:v>
                </c:pt>
                <c:pt idx="294">
                  <c:v>210.416158453054</c:v>
                </c:pt>
                <c:pt idx="295">
                  <c:v>211.401805816944</c:v>
                </c:pt>
                <c:pt idx="296">
                  <c:v>212.387453180836</c:v>
                </c:pt>
                <c:pt idx="297">
                  <c:v>213.373100544726</c:v>
                </c:pt>
                <c:pt idx="298">
                  <c:v>214.358747908616</c:v>
                </c:pt>
                <c:pt idx="299">
                  <c:v>215.344395272508</c:v>
                </c:pt>
                <c:pt idx="300">
                  <c:v>216.330042636402</c:v>
                </c:pt>
                <c:pt idx="301">
                  <c:v>217.315690000296</c:v>
                </c:pt>
                <c:pt idx="302">
                  <c:v>218.301337364186</c:v>
                </c:pt>
                <c:pt idx="303">
                  <c:v>219.286984728082</c:v>
                </c:pt>
                <c:pt idx="304">
                  <c:v>220.272632091977</c:v>
                </c:pt>
                <c:pt idx="305">
                  <c:v>221.258279455871</c:v>
                </c:pt>
                <c:pt idx="306">
                  <c:v>222.243926819767</c:v>
                </c:pt>
                <c:pt idx="307">
                  <c:v>223.229574183662</c:v>
                </c:pt>
                <c:pt idx="308">
                  <c:v>224.215221547558</c:v>
                </c:pt>
                <c:pt idx="309">
                  <c:v>225.200868911454</c:v>
                </c:pt>
                <c:pt idx="310">
                  <c:v>226.186516275351</c:v>
                </c:pt>
                <c:pt idx="311">
                  <c:v>227.172163639249</c:v>
                </c:pt>
                <c:pt idx="312">
                  <c:v>228.157811003146</c:v>
                </c:pt>
                <c:pt idx="313">
                  <c:v>229.143458367045</c:v>
                </c:pt>
                <c:pt idx="314">
                  <c:v>230.129105730946</c:v>
                </c:pt>
                <c:pt idx="315">
                  <c:v>231.114753094846</c:v>
                </c:pt>
                <c:pt idx="316">
                  <c:v>232.100400458743</c:v>
                </c:pt>
                <c:pt idx="317">
                  <c:v>233.086047822644</c:v>
                </c:pt>
                <c:pt idx="318">
                  <c:v>234.071695186545</c:v>
                </c:pt>
                <c:pt idx="319">
                  <c:v>235.057342550444</c:v>
                </c:pt>
                <c:pt idx="320">
                  <c:v>236.042989914347</c:v>
                </c:pt>
                <c:pt idx="321">
                  <c:v>237.028637278248</c:v>
                </c:pt>
                <c:pt idx="322">
                  <c:v>238.014284642153</c:v>
                </c:pt>
                <c:pt idx="323">
                  <c:v>238.999932006054</c:v>
                </c:pt>
                <c:pt idx="324">
                  <c:v>239.985579369959</c:v>
                </c:pt>
                <c:pt idx="325">
                  <c:v>240.971226733862</c:v>
                </c:pt>
                <c:pt idx="326">
                  <c:v>241.956874097768</c:v>
                </c:pt>
                <c:pt idx="327">
                  <c:v>242.942521461671</c:v>
                </c:pt>
                <c:pt idx="328">
                  <c:v>243.928168825576</c:v>
                </c:pt>
                <c:pt idx="329">
                  <c:v>244.913816189483</c:v>
                </c:pt>
                <c:pt idx="330">
                  <c:v>245.899463553387</c:v>
                </c:pt>
                <c:pt idx="331">
                  <c:v>246.885110917294</c:v>
                </c:pt>
                <c:pt idx="332">
                  <c:v>247.870758281202</c:v>
                </c:pt>
                <c:pt idx="333">
                  <c:v>248.856405645109</c:v>
                </c:pt>
                <c:pt idx="334">
                  <c:v>249.842053009017</c:v>
                </c:pt>
                <c:pt idx="335">
                  <c:v>250.827700372927</c:v>
                </c:pt>
                <c:pt idx="336">
                  <c:v>251.813347736837</c:v>
                </c:pt>
                <c:pt idx="337">
                  <c:v>252.798995100746</c:v>
                </c:pt>
                <c:pt idx="338">
                  <c:v>253.784642464654</c:v>
                </c:pt>
                <c:pt idx="339">
                  <c:v>254.770289828564</c:v>
                </c:pt>
                <c:pt idx="340">
                  <c:v>255.755937192476</c:v>
                </c:pt>
                <c:pt idx="341">
                  <c:v>256.741584556388</c:v>
                </c:pt>
                <c:pt idx="342">
                  <c:v>257.727231920298</c:v>
                </c:pt>
                <c:pt idx="343">
                  <c:v>258.712879284212</c:v>
                </c:pt>
                <c:pt idx="344">
                  <c:v>259.698526648124</c:v>
                </c:pt>
                <c:pt idx="345">
                  <c:v>260.684174012038</c:v>
                </c:pt>
                <c:pt idx="346">
                  <c:v>261.66982137595</c:v>
                </c:pt>
                <c:pt idx="347">
                  <c:v>262.655468739864</c:v>
                </c:pt>
                <c:pt idx="348">
                  <c:v>263.641116103776</c:v>
                </c:pt>
                <c:pt idx="349">
                  <c:v>264.626763467692</c:v>
                </c:pt>
                <c:pt idx="350">
                  <c:v>265.612410831607</c:v>
                </c:pt>
                <c:pt idx="351">
                  <c:v>266.598058195521</c:v>
                </c:pt>
                <c:pt idx="352">
                  <c:v>267.583705559438</c:v>
                </c:pt>
                <c:pt idx="353">
                  <c:v>268.569352923354</c:v>
                </c:pt>
                <c:pt idx="354">
                  <c:v>269.555000287273</c:v>
                </c:pt>
                <c:pt idx="355">
                  <c:v>270.540647651191</c:v>
                </c:pt>
                <c:pt idx="356">
                  <c:v>271.52629501511</c:v>
                </c:pt>
                <c:pt idx="357">
                  <c:v>272.511942379027</c:v>
                </c:pt>
                <c:pt idx="358">
                  <c:v>273.497589742947</c:v>
                </c:pt>
                <c:pt idx="359">
                  <c:v>274.483237106866</c:v>
                </c:pt>
                <c:pt idx="360">
                  <c:v>275.468884470785</c:v>
                </c:pt>
                <c:pt idx="361">
                  <c:v>276.454531834705</c:v>
                </c:pt>
                <c:pt idx="362">
                  <c:v>277.440179198627</c:v>
                </c:pt>
                <c:pt idx="363">
                  <c:v>278.425826562547</c:v>
                </c:pt>
                <c:pt idx="364">
                  <c:v>279.41147392647</c:v>
                </c:pt>
                <c:pt idx="365">
                  <c:v>280.397121290391</c:v>
                </c:pt>
              </c:numCache>
            </c:numRef>
          </c:yVal>
          <c:smooth val="0"/>
        </c:ser>
        <c:ser>
          <c:idx val="1"/>
          <c:order val="1"/>
          <c:spPr>
            <a:noFill/>
            <a:ln cap="rnd" w="180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sol_ecl!$E$2:$E$367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sol_ecl!$I$2:$I$367</c:f>
              <c:numCache>
                <c:formatCode>General</c:formatCode>
                <c:ptCount val="366"/>
                <c:pt idx="1">
                  <c:v>270.630280687013</c:v>
                </c:pt>
                <c:pt idx="2">
                  <c:v>285.774196974343</c:v>
                </c:pt>
                <c:pt idx="3">
                  <c:v>300.777616038617</c:v>
                </c:pt>
                <c:pt idx="4">
                  <c:v>315.495865837717</c:v>
                </c:pt>
                <c:pt idx="5">
                  <c:v>329.816304134304</c:v>
                </c:pt>
                <c:pt idx="6">
                  <c:v>343.670941532728</c:v>
                </c:pt>
                <c:pt idx="7">
                  <c:v>357.040560046742</c:v>
                </c:pt>
                <c:pt idx="9">
                  <c:v>22.4608825404082</c:v>
                </c:pt>
                <c:pt idx="10">
                  <c:v>34.6528908100701</c:v>
                </c:pt>
                <c:pt idx="11">
                  <c:v>46.6170136719149</c:v>
                </c:pt>
                <c:pt idx="12">
                  <c:v>58.4426830689097</c:v>
                </c:pt>
                <c:pt idx="13">
                  <c:v>70.2117128915543</c:v>
                </c:pt>
                <c:pt idx="14">
                  <c:v>81.9945707121534</c:v>
                </c:pt>
                <c:pt idx="15">
                  <c:v>93.8485741940223</c:v>
                </c:pt>
                <c:pt idx="16">
                  <c:v>105.81717307145</c:v>
                </c:pt>
                <c:pt idx="17">
                  <c:v>117.930081347734</c:v>
                </c:pt>
                <c:pt idx="18">
                  <c:v>130.204631226459</c:v>
                </c:pt>
                <c:pt idx="19">
                  <c:v>142.648903313803</c:v>
                </c:pt>
                <c:pt idx="20">
                  <c:v>155.266754702329</c:v>
                </c:pt>
                <c:pt idx="21">
                  <c:v>168.063960275462</c:v>
                </c:pt>
                <c:pt idx="22">
                  <c:v>181.05372668993</c:v>
                </c:pt>
                <c:pt idx="23">
                  <c:v>194.259352137844</c:v>
                </c:pt>
                <c:pt idx="24">
                  <c:v>207.712163594669</c:v>
                </c:pt>
                <c:pt idx="25">
                  <c:v>221.444109410007</c:v>
                </c:pt>
                <c:pt idx="26">
                  <c:v>235.476173848099</c:v>
                </c:pt>
                <c:pt idx="27">
                  <c:v>249.80548831365</c:v>
                </c:pt>
                <c:pt idx="28">
                  <c:v>264.394974340055</c:v>
                </c:pt>
                <c:pt idx="29">
                  <c:v>279.16912183491</c:v>
                </c:pt>
                <c:pt idx="30">
                  <c:v>294.018052514724</c:v>
                </c:pt>
                <c:pt idx="31">
                  <c:v>308.809761739947</c:v>
                </c:pt>
                <c:pt idx="32">
                  <c:v>323.408099850302</c:v>
                </c:pt>
                <c:pt idx="33">
                  <c:v>337.692420169375</c:v>
                </c:pt>
                <c:pt idx="34">
                  <c:v>351.574419848896</c:v>
                </c:pt>
                <c:pt idx="36">
                  <c:v>17.9949351008727</c:v>
                </c:pt>
                <c:pt idx="37">
                  <c:v>30.5736262035725</c:v>
                </c:pt>
                <c:pt idx="38">
                  <c:v>42.8153794595465</c:v>
                </c:pt>
                <c:pt idx="39">
                  <c:v>54.8091617412626</c:v>
                </c:pt>
                <c:pt idx="40">
                  <c:v>66.6509022176712</c:v>
                </c:pt>
                <c:pt idx="41">
                  <c:v>78.434601745859</c:v>
                </c:pt>
                <c:pt idx="42">
                  <c:v>90.2462335014366</c:v>
                </c:pt>
                <c:pt idx="43">
                  <c:v>102.15978172886</c:v>
                </c:pt>
                <c:pt idx="44">
                  <c:v>114.234452377191</c:v>
                </c:pt>
                <c:pt idx="45">
                  <c:v>126.512471552213</c:v>
                </c:pt>
                <c:pt idx="46">
                  <c:v>139.017639913669</c:v>
                </c:pt>
                <c:pt idx="47">
                  <c:v>151.755444130063</c:v>
                </c:pt>
                <c:pt idx="48">
                  <c:v>164.715621206931</c:v>
                </c:pt>
                <c:pt idx="49">
                  <c:v>177.877479382487</c:v>
                </c:pt>
                <c:pt idx="50">
                  <c:v>191.217201339017</c:v>
                </c:pt>
                <c:pt idx="51">
                  <c:v>204.715264398025</c:v>
                </c:pt>
                <c:pt idx="52">
                  <c:v>218.361549363475</c:v>
                </c:pt>
                <c:pt idx="53">
                  <c:v>232.156041615356</c:v>
                </c:pt>
                <c:pt idx="54">
                  <c:v>246.104268979316</c:v>
                </c:pt>
                <c:pt idx="55">
                  <c:v>260.20839672392</c:v>
                </c:pt>
                <c:pt idx="56">
                  <c:v>274.456576490507</c:v>
                </c:pt>
                <c:pt idx="57">
                  <c:v>288.814071771756</c:v>
                </c:pt>
                <c:pt idx="58">
                  <c:v>303.21945088535</c:v>
                </c:pt>
                <c:pt idx="59">
                  <c:v>317.587759721713</c:v>
                </c:pt>
                <c:pt idx="60">
                  <c:v>331.820500604341</c:v>
                </c:pt>
                <c:pt idx="61">
                  <c:v>345.820162132696</c:v>
                </c:pt>
                <c:pt idx="62">
                  <c:v>359.505685564859</c:v>
                </c:pt>
                <c:pt idx="64">
                  <c:v>25.7623274265111</c:v>
                </c:pt>
                <c:pt idx="65">
                  <c:v>38.3378132025819</c:v>
                </c:pt>
                <c:pt idx="66">
                  <c:v>50.6028413038316</c:v>
                </c:pt>
                <c:pt idx="67">
                  <c:v>62.6308845165425</c:v>
                </c:pt>
                <c:pt idx="68">
                  <c:v>74.5080126763305</c:v>
                </c:pt>
                <c:pt idx="69">
                  <c:v>86.3246378352171</c:v>
                </c:pt>
                <c:pt idx="70">
                  <c:v>98.1694258505817</c:v>
                </c:pt>
                <c:pt idx="71">
                  <c:v>110.125006477813</c:v>
                </c:pt>
                <c:pt idx="72">
                  <c:v>122.264402835736</c:v>
                </c:pt>
                <c:pt idx="73">
                  <c:v>134.647176390093</c:v>
                </c:pt>
                <c:pt idx="74">
                  <c:v>147.315040685009</c:v>
                </c:pt>
                <c:pt idx="75">
                  <c:v>160.287714436012</c:v>
                </c:pt>
                <c:pt idx="76">
                  <c:v>173.560517351659</c:v>
                </c:pt>
                <c:pt idx="77">
                  <c:v>187.105237679086</c:v>
                </c:pt>
                <c:pt idx="78">
                  <c:v>200.875012233818</c:v>
                </c:pt>
                <c:pt idx="79">
                  <c:v>214.812624529445</c:v>
                </c:pt>
                <c:pt idx="80">
                  <c:v>228.860281846406</c:v>
                </c:pt>
                <c:pt idx="81">
                  <c:v>242.968162507403</c:v>
                </c:pt>
                <c:pt idx="82">
                  <c:v>257.099212976232</c:v>
                </c:pt>
                <c:pt idx="83">
                  <c:v>271.228829524948</c:v>
                </c:pt>
                <c:pt idx="84">
                  <c:v>285.339795754892</c:v>
                </c:pt>
                <c:pt idx="85">
                  <c:v>299.414528046722</c:v>
                </c:pt>
                <c:pt idx="86">
                  <c:v>313.427666345688</c:v>
                </c:pt>
                <c:pt idx="87">
                  <c:v>327.341950755469</c:v>
                </c:pt>
                <c:pt idx="88">
                  <c:v>341.109168742506</c:v>
                </c:pt>
                <c:pt idx="89">
                  <c:v>354.676171777589</c:v>
                </c:pt>
                <c:pt idx="91">
                  <c:v>21.0287632680193</c:v>
                </c:pt>
                <c:pt idx="92">
                  <c:v>33.7670158809909</c:v>
                </c:pt>
                <c:pt idx="93">
                  <c:v>46.2211080621056</c:v>
                </c:pt>
                <c:pt idx="94">
                  <c:v>58.4268293492726</c:v>
                </c:pt>
                <c:pt idx="95">
                  <c:v>70.4389135864027</c:v>
                </c:pt>
                <c:pt idx="96">
                  <c:v>82.3249376839957</c:v>
                </c:pt>
                <c:pt idx="97">
                  <c:v>94.1597555804242</c:v>
                </c:pt>
                <c:pt idx="98">
                  <c:v>106.021519454029</c:v>
                </c:pt>
                <c:pt idx="99">
                  <c:v>117.989106130608</c:v>
                </c:pt>
                <c:pt idx="100">
                  <c:v>130.139768960403</c:v>
                </c:pt>
                <c:pt idx="101">
                  <c:v>142.545549061014</c:v>
                </c:pt>
                <c:pt idx="102">
                  <c:v>155.267557917593</c:v>
                </c:pt>
                <c:pt idx="103">
                  <c:v>168.348448777633</c:v>
                </c:pt>
                <c:pt idx="104">
                  <c:v>181.804696673612</c:v>
                </c:pt>
                <c:pt idx="105">
                  <c:v>195.621105335002</c:v>
                </c:pt>
                <c:pt idx="106">
                  <c:v>209.749838457252</c:v>
                </c:pt>
                <c:pt idx="107">
                  <c:v>224.115186061345</c:v>
                </c:pt>
                <c:pt idx="108">
                  <c:v>238.623578387258</c:v>
                </c:pt>
                <c:pt idx="109">
                  <c:v>253.176672422939</c:v>
                </c:pt>
                <c:pt idx="110">
                  <c:v>267.684304751667</c:v>
                </c:pt>
                <c:pt idx="111">
                  <c:v>282.074137654908</c:v>
                </c:pt>
                <c:pt idx="112">
                  <c:v>296.295929581152</c:v>
                </c:pt>
                <c:pt idx="113">
                  <c:v>310.320134092572</c:v>
                </c:pt>
                <c:pt idx="114">
                  <c:v>324.132320171007</c:v>
                </c:pt>
                <c:pt idx="115">
                  <c:v>337.726064092097</c:v>
                </c:pt>
                <c:pt idx="116">
                  <c:v>351.09709982939</c:v>
                </c:pt>
                <c:pt idx="118">
                  <c:v>17.1523540765097</c:v>
                </c:pt>
                <c:pt idx="119">
                  <c:v>29.8318569567601</c:v>
                </c:pt>
                <c:pt idx="120">
                  <c:v>42.2870180574613</c:v>
                </c:pt>
                <c:pt idx="121">
                  <c:v>54.5369793858275</c:v>
                </c:pt>
                <c:pt idx="122">
                  <c:v>66.6129109668901</c:v>
                </c:pt>
                <c:pt idx="123">
                  <c:v>78.5565440520054</c:v>
                </c:pt>
                <c:pt idx="124">
                  <c:v>90.4175684566398</c:v>
                </c:pt>
                <c:pt idx="125">
                  <c:v>102.251326982571</c:v>
                </c:pt>
                <c:pt idx="126">
                  <c:v>114.117791524884</c:v>
                </c:pt>
                <c:pt idx="127">
                  <c:v>126.081774081067</c:v>
                </c:pt>
                <c:pt idx="128">
                  <c:v>138.213210720189</c:v>
                </c:pt>
                <c:pt idx="129">
                  <c:v>150.58572147404</c:v>
                </c:pt>
                <c:pt idx="130">
                  <c:v>163.271872841675</c:v>
                </c:pt>
                <c:pt idx="131">
                  <c:v>176.33466884259</c:v>
                </c:pt>
                <c:pt idx="132">
                  <c:v>189.816398223673</c:v>
                </c:pt>
                <c:pt idx="133">
                  <c:v>203.72744349184</c:v>
                </c:pt>
                <c:pt idx="134">
                  <c:v>218.038381255939</c:v>
                </c:pt>
                <c:pt idx="135">
                  <c:v>232.678297351215</c:v>
                </c:pt>
                <c:pt idx="136">
                  <c:v>247.540748500392</c:v>
                </c:pt>
                <c:pt idx="137">
                  <c:v>262.496689060739</c:v>
                </c:pt>
                <c:pt idx="138">
                  <c:v>277.411664197781</c:v>
                </c:pt>
                <c:pt idx="139">
                  <c:v>292.163350785447</c:v>
                </c:pt>
                <c:pt idx="140">
                  <c:v>306.655523499861</c:v>
                </c:pt>
                <c:pt idx="141">
                  <c:v>320.825715948145</c:v>
                </c:pt>
                <c:pt idx="142">
                  <c:v>334.645789732579</c:v>
                </c:pt>
                <c:pt idx="143">
                  <c:v>348.116624079538</c:v>
                </c:pt>
                <c:pt idx="145">
                  <c:v>14.1072825551605</c:v>
                </c:pt>
                <c:pt idx="146">
                  <c:v>26.6972680804478</c:v>
                </c:pt>
                <c:pt idx="147">
                  <c:v>39.0674516409723</c:v>
                </c:pt>
                <c:pt idx="148">
                  <c:v>51.2551775643718</c:v>
                </c:pt>
                <c:pt idx="149">
                  <c:v>63.2974603455852</c:v>
                </c:pt>
                <c:pt idx="150">
                  <c:v>75.2315804841383</c:v>
                </c:pt>
                <c:pt idx="151">
                  <c:v>87.0952822969911</c:v>
                </c:pt>
                <c:pt idx="152">
                  <c:v>98.9266982688588</c:v>
                </c:pt>
                <c:pt idx="153">
                  <c:v>110.764713996874</c:v>
                </c:pt>
                <c:pt idx="154">
                  <c:v>122.650487760093</c:v>
                </c:pt>
                <c:pt idx="155">
                  <c:v>134.630193046802</c:v>
                </c:pt>
                <c:pt idx="156">
                  <c:v>146.758045430266</c:v>
                </c:pt>
                <c:pt idx="157">
                  <c:v>159.097813504251</c:v>
                </c:pt>
                <c:pt idx="158">
                  <c:v>171.720801356993</c:v>
                </c:pt>
                <c:pt idx="159">
                  <c:v>184.698993880805</c:v>
                </c:pt>
                <c:pt idx="160">
                  <c:v>198.093560919627</c:v>
                </c:pt>
                <c:pt idx="161">
                  <c:v>211.940737645713</c:v>
                </c:pt>
                <c:pt idx="162">
                  <c:v>226.238554438698</c:v>
                </c:pt>
                <c:pt idx="163">
                  <c:v>240.938364300965</c:v>
                </c:pt>
                <c:pt idx="164">
                  <c:v>255.944313026261</c:v>
                </c:pt>
                <c:pt idx="165">
                  <c:v>271.121976799794</c:v>
                </c:pt>
                <c:pt idx="166">
                  <c:v>286.314932677776</c:v>
                </c:pt>
                <c:pt idx="167">
                  <c:v>301.365826439542</c:v>
                </c:pt>
                <c:pt idx="168">
                  <c:v>316.137285316882</c:v>
                </c:pt>
                <c:pt idx="169">
                  <c:v>330.528179152156</c:v>
                </c:pt>
                <c:pt idx="170">
                  <c:v>344.482176452476</c:v>
                </c:pt>
                <c:pt idx="171">
                  <c:v>357.987751152452</c:v>
                </c:pt>
                <c:pt idx="173">
                  <c:v>23.7843198282792</c:v>
                </c:pt>
                <c:pt idx="174">
                  <c:v>36.1939010033167</c:v>
                </c:pt>
                <c:pt idx="175">
                  <c:v>48.3694528160985</c:v>
                </c:pt>
                <c:pt idx="176">
                  <c:v>60.3769446093691</c:v>
                </c:pt>
                <c:pt idx="177">
                  <c:v>72.2748629458748</c:v>
                </c:pt>
                <c:pt idx="178">
                  <c:v>84.1130264197101</c:v>
                </c:pt>
                <c:pt idx="179">
                  <c:v>95.9329264216082</c:v>
                </c:pt>
                <c:pt idx="180">
                  <c:v>107.768908552665</c:v>
                </c:pt>
                <c:pt idx="181">
                  <c:v>119.650099185482</c:v>
                </c:pt>
                <c:pt idx="182">
                  <c:v>131.603351793067</c:v>
                </c:pt>
                <c:pt idx="183">
                  <c:v>143.657341705699</c:v>
                </c:pt>
                <c:pt idx="184">
                  <c:v>155.847277741521</c:v>
                </c:pt>
                <c:pt idx="185">
                  <c:v>168.218836050138</c:v>
                </c:pt>
                <c:pt idx="186">
                  <c:v>180.829341132941</c:v>
                </c:pt>
                <c:pt idx="187">
                  <c:v>193.74435628987</c:v>
                </c:pt>
                <c:pt idx="188">
                  <c:v>207.028867609305</c:v>
                </c:pt>
                <c:pt idx="189">
                  <c:v>220.733938110532</c:v>
                </c:pt>
                <c:pt idx="190">
                  <c:v>234.881523484122</c:v>
                </c:pt>
                <c:pt idx="191">
                  <c:v>249.451390298384</c:v>
                </c:pt>
                <c:pt idx="192">
                  <c:v>264.374203335896</c:v>
                </c:pt>
                <c:pt idx="193">
                  <c:v>279.533657492514</c:v>
                </c:pt>
                <c:pt idx="194">
                  <c:v>294.778296661579</c:v>
                </c:pt>
                <c:pt idx="195">
                  <c:v>309.941056366662</c:v>
                </c:pt>
                <c:pt idx="196">
                  <c:v>324.862421809771</c:v>
                </c:pt>
                <c:pt idx="197">
                  <c:v>339.412107039498</c:v>
                </c:pt>
                <c:pt idx="198">
                  <c:v>353.504644981449</c:v>
                </c:pt>
                <c:pt idx="200">
                  <c:v>20.2311210868523</c:v>
                </c:pt>
                <c:pt idx="201">
                  <c:v>32.9333939744709</c:v>
                </c:pt>
                <c:pt idx="202">
                  <c:v>45.2909877182798</c:v>
                </c:pt>
                <c:pt idx="203">
                  <c:v>57.3922046562681</c:v>
                </c:pt>
                <c:pt idx="204">
                  <c:v>69.3236940631068</c:v>
                </c:pt>
                <c:pt idx="205">
                  <c:v>81.1626740731639</c:v>
                </c:pt>
                <c:pt idx="206">
                  <c:v>92.9732063042147</c:v>
                </c:pt>
                <c:pt idx="207">
                  <c:v>104.805555609817</c:v>
                </c:pt>
                <c:pt idx="208">
                  <c:v>116.69742685316</c:v>
                </c:pt>
                <c:pt idx="209">
                  <c:v>128.676230517595</c:v>
                </c:pt>
                <c:pt idx="210">
                  <c:v>140.762106361377</c:v>
                </c:pt>
                <c:pt idx="211">
                  <c:v>152.971792076556</c:v>
                </c:pt>
                <c:pt idx="212">
                  <c:v>165.323289125193</c:v>
                </c:pt>
                <c:pt idx="213">
                  <c:v>177.840677915366</c:v>
                </c:pt>
                <c:pt idx="214">
                  <c:v>190.557689935079</c:v>
                </c:pt>
                <c:pt idx="215">
                  <c:v>203.51822188362</c:v>
                </c:pt>
                <c:pt idx="216">
                  <c:v>216.772264095612</c:v>
                </c:pt>
                <c:pt idx="217">
                  <c:v>230.366819369016</c:v>
                </c:pt>
                <c:pt idx="218">
                  <c:v>244.333045439623</c:v>
                </c:pt>
                <c:pt idx="219">
                  <c:v>258.67250166201</c:v>
                </c:pt>
                <c:pt idx="220">
                  <c:v>273.346362490732</c:v>
                </c:pt>
                <c:pt idx="221">
                  <c:v>288.271293441767</c:v>
                </c:pt>
                <c:pt idx="222">
                  <c:v>303.324270481862</c:v>
                </c:pt>
                <c:pt idx="223">
                  <c:v>318.356318608415</c:v>
                </c:pt>
                <c:pt idx="224">
                  <c:v>333.212657872794</c:v>
                </c:pt>
                <c:pt idx="225">
                  <c:v>347.754887281836</c:v>
                </c:pt>
                <c:pt idx="227">
                  <c:v>15.53370503837</c:v>
                </c:pt>
                <c:pt idx="228">
                  <c:v>28.7110995656791</c:v>
                </c:pt>
                <c:pt idx="229">
                  <c:v>41.4530840787897</c:v>
                </c:pt>
                <c:pt idx="230">
                  <c:v>53.8329860735459</c:v>
                </c:pt>
                <c:pt idx="231">
                  <c:v>65.9419039965656</c:v>
                </c:pt>
                <c:pt idx="232">
                  <c:v>77.8747949592995</c:v>
                </c:pt>
                <c:pt idx="233">
                  <c:v>89.7200665321186</c:v>
                </c:pt>
                <c:pt idx="234">
                  <c:v>101.553593253324</c:v>
                </c:pt>
                <c:pt idx="235">
                  <c:v>113.436608639672</c:v>
                </c:pt>
                <c:pt idx="236">
                  <c:v>125.416093794223</c:v>
                </c:pt>
                <c:pt idx="237">
                  <c:v>137.526262188857</c:v>
                </c:pt>
                <c:pt idx="238">
                  <c:v>149.790328604439</c:v>
                </c:pt>
                <c:pt idx="239">
                  <c:v>162.222505952044</c:v>
                </c:pt>
                <c:pt idx="240">
                  <c:v>174.830629892813</c:v>
                </c:pt>
                <c:pt idx="241">
                  <c:v>187.61969710353</c:v>
                </c:pt>
                <c:pt idx="242">
                  <c:v>200.595969009998</c:v>
                </c:pt>
                <c:pt idx="243">
                  <c:v>213.770485842731</c:v>
                </c:pt>
                <c:pt idx="244">
                  <c:v>227.160337277664</c:v>
                </c:pt>
                <c:pt idx="245">
                  <c:v>240.786231857038</c:v>
                </c:pt>
                <c:pt idx="246">
                  <c:v>254.665893115604</c:v>
                </c:pt>
                <c:pt idx="247">
                  <c:v>268.804316058001</c:v>
                </c:pt>
                <c:pt idx="248">
                  <c:v>283.183393035323</c:v>
                </c:pt>
                <c:pt idx="249">
                  <c:v>297.754245719867</c:v>
                </c:pt>
                <c:pt idx="250">
                  <c:v>312.435351759113</c:v>
                </c:pt>
                <c:pt idx="251">
                  <c:v>327.118185439084</c:v>
                </c:pt>
                <c:pt idx="252">
                  <c:v>341.679985409982</c:v>
                </c:pt>
                <c:pt idx="253">
                  <c:v>356.001108315742</c:v>
                </c:pt>
                <c:pt idx="255">
                  <c:v>23.562314802278</c:v>
                </c:pt>
                <c:pt idx="256">
                  <c:v>36.7186622857941</c:v>
                </c:pt>
                <c:pt idx="257">
                  <c:v>49.4736723259138</c:v>
                </c:pt>
                <c:pt idx="258">
                  <c:v>61.8835316223287</c:v>
                </c:pt>
                <c:pt idx="259">
                  <c:v>74.0270865447442</c:v>
                </c:pt>
                <c:pt idx="260">
                  <c:v>85.993174446435</c:v>
                </c:pt>
                <c:pt idx="261">
                  <c:v>97.8700952061703</c:v>
                </c:pt>
                <c:pt idx="262">
                  <c:v>109.738808655703</c:v>
                </c:pt>
                <c:pt idx="263">
                  <c:v>121.669826217121</c:v>
                </c:pt>
                <c:pt idx="264">
                  <c:v>133.722531177575</c:v>
                </c:pt>
                <c:pt idx="265">
                  <c:v>145.945238076671</c:v>
                </c:pt>
                <c:pt idx="266">
                  <c:v>158.374740299578</c:v>
                </c:pt>
                <c:pt idx="267">
                  <c:v>171.035077507749</c:v>
                </c:pt>
                <c:pt idx="268">
                  <c:v>183.936247926115</c:v>
                </c:pt>
                <c:pt idx="269">
                  <c:v>197.07408896671</c:v>
                </c:pt>
                <c:pt idx="270">
                  <c:v>210.43229788039</c:v>
                </c:pt>
                <c:pt idx="271">
                  <c:v>223.986667552244</c:v>
                </c:pt>
                <c:pt idx="272">
                  <c:v>237.710489223679</c:v>
                </c:pt>
                <c:pt idx="273">
                  <c:v>251.579269013405</c:v>
                </c:pt>
                <c:pt idx="274">
                  <c:v>265.572847804449</c:v>
                </c:pt>
                <c:pt idx="275">
                  <c:v>279.6738206402</c:v>
                </c:pt>
                <c:pt idx="276">
                  <c:v>293.862559932684</c:v>
                </c:pt>
                <c:pt idx="277">
                  <c:v>308.1106114284</c:v>
                </c:pt>
                <c:pt idx="278">
                  <c:v>322.375144736873</c:v>
                </c:pt>
                <c:pt idx="279">
                  <c:v>336.597083267367</c:v>
                </c:pt>
                <c:pt idx="280">
                  <c:v>350.704465516075</c:v>
                </c:pt>
                <c:pt idx="282">
                  <c:v>18.2768955131585</c:v>
                </c:pt>
                <c:pt idx="283">
                  <c:v>31.6218588600164</c:v>
                </c:pt>
                <c:pt idx="284">
                  <c:v>44.6322131796149</c:v>
                </c:pt>
                <c:pt idx="285">
                  <c:v>57.3149355426648</c:v>
                </c:pt>
                <c:pt idx="286">
                  <c:v>69.7052360740115</c:v>
                </c:pt>
                <c:pt idx="287">
                  <c:v>81.8599688055641</c:v>
                </c:pt>
                <c:pt idx="288">
                  <c:v>93.8491671624246</c:v>
                </c:pt>
                <c:pt idx="289">
                  <c:v>105.748270544179</c:v>
                </c:pt>
                <c:pt idx="290">
                  <c:v>117.632765486139</c:v>
                </c:pt>
                <c:pt idx="291">
                  <c:v>129.57555348169</c:v>
                </c:pt>
                <c:pt idx="292">
                  <c:v>141.646000477173</c:v>
                </c:pt>
                <c:pt idx="293">
                  <c:v>153.908898320713</c:v>
                </c:pt>
                <c:pt idx="294">
                  <c:v>166.421770859786</c:v>
                </c:pt>
                <c:pt idx="295">
                  <c:v>179.229979339265</c:v>
                </c:pt>
                <c:pt idx="296">
                  <c:v>192.360461709768</c:v>
                </c:pt>
                <c:pt idx="297">
                  <c:v>205.816058304899</c:v>
                </c:pt>
                <c:pt idx="298">
                  <c:v>219.572714598298</c:v>
                </c:pt>
                <c:pt idx="299">
                  <c:v>233.581214414584</c:v>
                </c:pt>
                <c:pt idx="300">
                  <c:v>247.773695630033</c:v>
                </c:pt>
                <c:pt idx="301">
                  <c:v>262.073571828577</c:v>
                </c:pt>
                <c:pt idx="302">
                  <c:v>276.406272329032</c:v>
                </c:pt>
                <c:pt idx="303">
                  <c:v>290.707909437266</c:v>
                </c:pt>
                <c:pt idx="304">
                  <c:v>304.92972033661</c:v>
                </c:pt>
                <c:pt idx="305">
                  <c:v>319.037634949126</c:v>
                </c:pt>
                <c:pt idx="306">
                  <c:v>333.008013325899</c:v>
                </c:pt>
                <c:pt idx="307">
                  <c:v>346.821831796472</c:v>
                </c:pt>
                <c:pt idx="309">
                  <c:v>13.9011948548608</c:v>
                </c:pt>
                <c:pt idx="310">
                  <c:v>27.1244276443721</c:v>
                </c:pt>
                <c:pt idx="311">
                  <c:v>40.1127158393476</c:v>
                </c:pt>
                <c:pt idx="312">
                  <c:v>52.8587064772991</c:v>
                </c:pt>
                <c:pt idx="313">
                  <c:v>65.3685819827796</c:v>
                </c:pt>
                <c:pt idx="314">
                  <c:v>77.6634749742622</c:v>
                </c:pt>
                <c:pt idx="315">
                  <c:v>89.7781946684229</c:v>
                </c:pt>
                <c:pt idx="316">
                  <c:v>101.758280198633</c:v>
                </c:pt>
                <c:pt idx="317">
                  <c:v>113.656950517396</c:v>
                </c:pt>
                <c:pt idx="318">
                  <c:v>125.533248792225</c:v>
                </c:pt>
                <c:pt idx="319">
                  <c:v>137.451712371133</c:v>
                </c:pt>
                <c:pt idx="320">
                  <c:v>149.482692483686</c:v>
                </c:pt>
                <c:pt idx="321">
                  <c:v>161.701585993357</c:v>
                </c:pt>
                <c:pt idx="322">
                  <c:v>174.185185669329</c:v>
                </c:pt>
                <c:pt idx="323">
                  <c:v>187.004234181886</c:v>
                </c:pt>
                <c:pt idx="324">
                  <c:v>200.212803470833</c:v>
                </c:pt>
                <c:pt idx="325">
                  <c:v>213.836728784527</c:v>
                </c:pt>
                <c:pt idx="326">
                  <c:v>227.864338400268</c:v>
                </c:pt>
                <c:pt idx="327">
                  <c:v>242.242658802664</c:v>
                </c:pt>
                <c:pt idx="328">
                  <c:v>256.881056440832</c:v>
                </c:pt>
                <c:pt idx="329">
                  <c:v>271.662259544313</c:v>
                </c:pt>
                <c:pt idx="330">
                  <c:v>286.458563456936</c:v>
                </c:pt>
                <c:pt idx="331">
                  <c:v>301.149503080899</c:v>
                </c:pt>
                <c:pt idx="332">
                  <c:v>315.636904115504</c:v>
                </c:pt>
                <c:pt idx="333">
                  <c:v>329.854115646048</c:v>
                </c:pt>
                <c:pt idx="334">
                  <c:v>343.768043975242</c:v>
                </c:pt>
                <c:pt idx="335">
                  <c:v>357.3746993353</c:v>
                </c:pt>
                <c:pt idx="337">
                  <c:v>23.7432305572643</c:v>
                </c:pt>
                <c:pt idx="338">
                  <c:v>36.5628602441572</c:v>
                </c:pt>
                <c:pt idx="339">
                  <c:v>49.177912041289</c:v>
                </c:pt>
                <c:pt idx="340">
                  <c:v>61.6133636472362</c:v>
                </c:pt>
                <c:pt idx="341">
                  <c:v>73.8916271358785</c:v>
                </c:pt>
                <c:pt idx="342">
                  <c:v>86.0344414763322</c:v>
                </c:pt>
                <c:pt idx="343">
                  <c:v>98.0647771690642</c:v>
                </c:pt>
                <c:pt idx="344">
                  <c:v>110.008450802046</c:v>
                </c:pt>
                <c:pt idx="345">
                  <c:v>121.895796960355</c:v>
                </c:pt>
                <c:pt idx="346">
                  <c:v>133.763922802152</c:v>
                </c:pt>
                <c:pt idx="347">
                  <c:v>145.659632758899</c:v>
                </c:pt>
                <c:pt idx="348">
                  <c:v>157.642249679063</c:v>
                </c:pt>
                <c:pt idx="349">
                  <c:v>169.784725020684</c:v>
                </c:pt>
                <c:pt idx="350">
                  <c:v>182.171132149735</c:v>
                </c:pt>
                <c:pt idx="351">
                  <c:v>194.889199363885</c:v>
                </c:pt>
                <c:pt idx="352">
                  <c:v>208.01793429262</c:v>
                </c:pt>
                <c:pt idx="353">
                  <c:v>221.612207322124</c:v>
                </c:pt>
                <c:pt idx="354">
                  <c:v>235.687739868953</c:v>
                </c:pt>
                <c:pt idx="355">
                  <c:v>250.21062804292</c:v>
                </c:pt>
                <c:pt idx="356">
                  <c:v>265.094937552927</c:v>
                </c:pt>
                <c:pt idx="357">
                  <c:v>280.210089482344</c:v>
                </c:pt>
                <c:pt idx="358">
                  <c:v>295.397228076956</c:v>
                </c:pt>
                <c:pt idx="359">
                  <c:v>310.491314068965</c:v>
                </c:pt>
                <c:pt idx="360">
                  <c:v>325.344115817139</c:v>
                </c:pt>
                <c:pt idx="361">
                  <c:v>339.843085631707</c:v>
                </c:pt>
                <c:pt idx="362">
                  <c:v>353.922351039411</c:v>
                </c:pt>
                <c:pt idx="364">
                  <c:v>20.7925850264124</c:v>
                </c:pt>
                <c:pt idx="365">
                  <c:v>33.6597689909561</c:v>
                </c:pt>
              </c:numCache>
            </c:numRef>
          </c:yVal>
          <c:smooth val="0"/>
        </c:ser>
        <c:ser>
          <c:idx val="2"/>
          <c:order val="2"/>
          <c:spPr>
            <a:noFill/>
            <a:ln cap="rnd" w="180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sol_ecl!$E$2:$E$367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sol_ecl!$K$2:$K$367</c:f>
              <c:numCache>
                <c:formatCode>General</c:formatCode>
                <c:ptCount val="366"/>
                <c:pt idx="0">
                  <c:v>-12.8827268204613</c:v>
                </c:pt>
                <c:pt idx="1">
                  <c:v>-25.5508761166881</c:v>
                </c:pt>
                <c:pt idx="2">
                  <c:v>-36.4005114031867</c:v>
                </c:pt>
                <c:pt idx="3">
                  <c:v>-44.6078950765045</c:v>
                </c:pt>
                <c:pt idx="4">
                  <c:v>-49.6752173632252</c:v>
                </c:pt>
                <c:pt idx="5">
                  <c:v>-51.4672355850508</c:v>
                </c:pt>
                <c:pt idx="6">
                  <c:v>-50.1593709334911</c:v>
                </c:pt>
                <c:pt idx="7">
                  <c:v>-46.1334322548896</c:v>
                </c:pt>
                <c:pt idx="8">
                  <c:v>-39.8682328667054</c:v>
                </c:pt>
                <c:pt idx="9">
                  <c:v>-31.8590773425046</c:v>
                </c:pt>
                <c:pt idx="10">
                  <c:v>-22.5770665972653</c:v>
                </c:pt>
                <c:pt idx="11">
                  <c:v>-12.460832063634</c:v>
                </c:pt>
                <c:pt idx="12">
                  <c:v>-1.92567319054914</c:v>
                </c:pt>
                <c:pt idx="13">
                  <c:v>8.62355725967563</c:v>
                </c:pt>
                <c:pt idx="14">
                  <c:v>18.7839746641635</c:v>
                </c:pt>
                <c:pt idx="15">
                  <c:v>28.1534585577153</c:v>
                </c:pt>
                <c:pt idx="16">
                  <c:v>36.3366432594681</c:v>
                </c:pt>
                <c:pt idx="17">
                  <c:v>42.9572213224921</c:v>
                </c:pt>
                <c:pt idx="18">
                  <c:v>47.6755123613836</c:v>
                </c:pt>
                <c:pt idx="19">
                  <c:v>50.2094376415562</c:v>
                </c:pt>
                <c:pt idx="20">
                  <c:v>50.3557015809638</c:v>
                </c:pt>
                <c:pt idx="21">
                  <c:v>48.0075589054025</c:v>
                </c:pt>
                <c:pt idx="22">
                  <c:v>43.167393892847</c:v>
                </c:pt>
                <c:pt idx="23">
                  <c:v>35.9560176738277</c:v>
                </c:pt>
                <c:pt idx="24">
                  <c:v>26.6234207182277</c:v>
                </c:pt>
                <c:pt idx="25">
                  <c:v>15.564300417324</c:v>
                </c:pt>
                <c:pt idx="26">
                  <c:v>3.3345898129333</c:v>
                </c:pt>
                <c:pt idx="27">
                  <c:v>-9.34486738205402</c:v>
                </c:pt>
                <c:pt idx="28">
                  <c:v>-21.61761717905</c:v>
                </c:pt>
                <c:pt idx="29">
                  <c:v>-32.5687455614138</c:v>
                </c:pt>
                <c:pt idx="30">
                  <c:v>-41.3454625863876</c:v>
                </c:pt>
                <c:pt idx="31">
                  <c:v>-47.2912656041569</c:v>
                </c:pt>
                <c:pt idx="32">
                  <c:v>-50.0485627785131</c:v>
                </c:pt>
                <c:pt idx="33">
                  <c:v>-49.5927455359909</c:v>
                </c:pt>
                <c:pt idx="34">
                  <c:v>-46.1897862891004</c:v>
                </c:pt>
                <c:pt idx="35">
                  <c:v>-40.3015705481555</c:v>
                </c:pt>
                <c:pt idx="36">
                  <c:v>-32.4791965360097</c:v>
                </c:pt>
                <c:pt idx="37">
                  <c:v>-23.2785736293207</c:v>
                </c:pt>
                <c:pt idx="38">
                  <c:v>-13.2136714111679</c:v>
                </c:pt>
                <c:pt idx="39">
                  <c:v>-2.74418649905076</c:v>
                </c:pt>
                <c:pt idx="40">
                  <c:v>7.71551437736062</c:v>
                </c:pt>
                <c:pt idx="41">
                  <c:v>17.7799924483774</c:v>
                </c:pt>
                <c:pt idx="42">
                  <c:v>27.0782214166723</c:v>
                </c:pt>
                <c:pt idx="43">
                  <c:v>35.2453427934085</c:v>
                </c:pt>
                <c:pt idx="44">
                  <c:v>41.92234981245</c:v>
                </c:pt>
                <c:pt idx="45">
                  <c:v>46.764961342727</c:v>
                </c:pt>
                <c:pt idx="46">
                  <c:v>49.4630578221456</c:v>
                </c:pt>
                <c:pt idx="47">
                  <c:v>49.7705482402466</c:v>
                </c:pt>
                <c:pt idx="48">
                  <c:v>47.5417828442065</c:v>
                </c:pt>
                <c:pt idx="49">
                  <c:v>42.7663392658032</c:v>
                </c:pt>
                <c:pt idx="50">
                  <c:v>35.5923650513807</c:v>
                </c:pt>
                <c:pt idx="51">
                  <c:v>26.331808837861</c:v>
                </c:pt>
                <c:pt idx="52">
                  <c:v>15.4476320997531</c:v>
                </c:pt>
                <c:pt idx="53">
                  <c:v>3.52908355151548</c:v>
                </c:pt>
                <c:pt idx="54">
                  <c:v>-8.73811967910827</c:v>
                </c:pt>
                <c:pt idx="55">
                  <c:v>-20.6050754971766</c:v>
                </c:pt>
                <c:pt idx="56">
                  <c:v>-31.3018179338209</c:v>
                </c:pt>
                <c:pt idx="57">
                  <c:v>-40.0958584144821</c:v>
                </c:pt>
                <c:pt idx="58">
                  <c:v>-46.367989689086</c:v>
                </c:pt>
                <c:pt idx="59">
                  <c:v>-49.6927751428154</c:v>
                </c:pt>
                <c:pt idx="60">
                  <c:v>-49.8997406485398</c:v>
                </c:pt>
                <c:pt idx="61">
                  <c:v>-47.091532528662</c:v>
                </c:pt>
                <c:pt idx="62">
                  <c:v>-41.6098300614882</c:v>
                </c:pt>
                <c:pt idx="63">
                  <c:v>-33.9607994064013</c:v>
                </c:pt>
                <c:pt idx="64">
                  <c:v>-24.7265742452658</c:v>
                </c:pt>
                <c:pt idx="65">
                  <c:v>-14.4898146093675</c:v>
                </c:pt>
                <c:pt idx="66">
                  <c:v>-3.7870377658578</c:v>
                </c:pt>
                <c:pt idx="67">
                  <c:v>6.90814493374098</c:v>
                </c:pt>
                <c:pt idx="68">
                  <c:v>17.1806086572641</c:v>
                </c:pt>
                <c:pt idx="69">
                  <c:v>26.6593474016499</c:v>
                </c:pt>
                <c:pt idx="70">
                  <c:v>35.0017489899978</c:v>
                </c:pt>
                <c:pt idx="71">
                  <c:v>41.8813240415431</c:v>
                </c:pt>
                <c:pt idx="72">
                  <c:v>46.9817708743266</c:v>
                </c:pt>
                <c:pt idx="73">
                  <c:v>50.0006954429114</c:v>
                </c:pt>
                <c:pt idx="74">
                  <c:v>50.6672676479048</c:v>
                </c:pt>
                <c:pt idx="75">
                  <c:v>48.776744428877</c:v>
                </c:pt>
                <c:pt idx="76">
                  <c:v>44.2393463221455</c:v>
                </c:pt>
                <c:pt idx="77">
                  <c:v>37.1325873932798</c:v>
                </c:pt>
                <c:pt idx="78">
                  <c:v>27.7393081049199</c:v>
                </c:pt>
                <c:pt idx="79">
                  <c:v>16.5539148607303</c:v>
                </c:pt>
                <c:pt idx="80">
                  <c:v>4.24898962946707</c:v>
                </c:pt>
                <c:pt idx="81">
                  <c:v>-8.39063532190848</c:v>
                </c:pt>
                <c:pt idx="82">
                  <c:v>-20.5477759238647</c:v>
                </c:pt>
                <c:pt idx="83">
                  <c:v>-31.4470825658631</c:v>
                </c:pt>
                <c:pt idx="84">
                  <c:v>-40.4125343750652</c:v>
                </c:pt>
                <c:pt idx="85">
                  <c:v>-46.9085160645408</c:v>
                </c:pt>
                <c:pt idx="86">
                  <c:v>-50.5705120574829</c:v>
                </c:pt>
                <c:pt idx="87">
                  <c:v>-51.2288491094002</c:v>
                </c:pt>
                <c:pt idx="88">
                  <c:v>-48.9217152750564</c:v>
                </c:pt>
                <c:pt idx="89">
                  <c:v>-43.8889289165057</c:v>
                </c:pt>
                <c:pt idx="90">
                  <c:v>-36.5405278407677</c:v>
                </c:pt>
                <c:pt idx="91">
                  <c:v>-27.4032307649918</c:v>
                </c:pt>
                <c:pt idx="92">
                  <c:v>-17.0571747879863</c:v>
                </c:pt>
                <c:pt idx="93">
                  <c:v>-6.07880157753333</c:v>
                </c:pt>
                <c:pt idx="94">
                  <c:v>4.99840617095038</c:v>
                </c:pt>
                <c:pt idx="95">
                  <c:v>15.7020305694761</c:v>
                </c:pt>
                <c:pt idx="96">
                  <c:v>25.6217095498147</c:v>
                </c:pt>
                <c:pt idx="97">
                  <c:v>34.4001408879926</c:v>
                </c:pt>
                <c:pt idx="98">
                  <c:v>41.7203543658166</c:v>
                </c:pt>
                <c:pt idx="99">
                  <c:v>47.293317996938</c:v>
                </c:pt>
                <c:pt idx="100">
                  <c:v>50.8490923494663</c:v>
                </c:pt>
                <c:pt idx="101">
                  <c:v>52.1360576761545</c:v>
                </c:pt>
                <c:pt idx="102">
                  <c:v>50.9346702766524</c:v>
                </c:pt>
                <c:pt idx="103">
                  <c:v>47.0916830984732</c:v>
                </c:pt>
                <c:pt idx="104">
                  <c:v>40.5750423222209</c:v>
                </c:pt>
                <c:pt idx="105">
                  <c:v>31.5386681327253</c:v>
                </c:pt>
                <c:pt idx="106">
                  <c:v>20.3744222877152</c:v>
                </c:pt>
                <c:pt idx="107">
                  <c:v>7.72384657771954</c:v>
                </c:pt>
                <c:pt idx="108">
                  <c:v>-5.56835312343933</c:v>
                </c:pt>
                <c:pt idx="109">
                  <c:v>-18.5547636217574</c:v>
                </c:pt>
                <c:pt idx="110">
                  <c:v>-30.3116336050532</c:v>
                </c:pt>
                <c:pt idx="111">
                  <c:v>-40.0528767180807</c:v>
                </c:pt>
                <c:pt idx="112">
                  <c:v>-47.202871215959</c:v>
                </c:pt>
                <c:pt idx="113">
                  <c:v>-51.4208310654591</c:v>
                </c:pt>
                <c:pt idx="114">
                  <c:v>-52.5888351964038</c:v>
                </c:pt>
                <c:pt idx="115">
                  <c:v>-50.7826692813168</c:v>
                </c:pt>
                <c:pt idx="116">
                  <c:v>-46.2396460737025</c:v>
                </c:pt>
                <c:pt idx="117">
                  <c:v>-39.327825182659</c:v>
                </c:pt>
                <c:pt idx="118">
                  <c:v>-30.5142645936851</c:v>
                </c:pt>
                <c:pt idx="119">
                  <c:v>-20.3294336775814</c:v>
                </c:pt>
                <c:pt idx="120">
                  <c:v>-9.32889830262057</c:v>
                </c:pt>
                <c:pt idx="121">
                  <c:v>1.94253893054818</c:v>
                </c:pt>
                <c:pt idx="122">
                  <c:v>12.9782789551834</c:v>
                </c:pt>
                <c:pt idx="123">
                  <c:v>23.3257242261966</c:v>
                </c:pt>
                <c:pt idx="124">
                  <c:v>32.5911206785966</c:v>
                </c:pt>
                <c:pt idx="125">
                  <c:v>40.4366086916577</c:v>
                </c:pt>
                <c:pt idx="126">
                  <c:v>46.5728728820167</c:v>
                </c:pt>
                <c:pt idx="127">
                  <c:v>50.7499723661054</c:v>
                </c:pt>
                <c:pt idx="128">
                  <c:v>52.7490317409464</c:v>
                </c:pt>
                <c:pt idx="129">
                  <c:v>52.3793857811493</c:v>
                </c:pt>
                <c:pt idx="130">
                  <c:v>49.4883779185064</c:v>
                </c:pt>
                <c:pt idx="131">
                  <c:v>43.9914565104032</c:v>
                </c:pt>
                <c:pt idx="132">
                  <c:v>35.9253442688642</c:v>
                </c:pt>
                <c:pt idx="133">
                  <c:v>25.5156808466704</c:v>
                </c:pt>
                <c:pt idx="134">
                  <c:v>13.2358634001575</c:v>
                </c:pt>
                <c:pt idx="135">
                  <c:v>-0.175664241665054</c:v>
                </c:pt>
                <c:pt idx="136">
                  <c:v>-13.7664428731431</c:v>
                </c:pt>
                <c:pt idx="137">
                  <c:v>-26.4911955145883</c:v>
                </c:pt>
                <c:pt idx="138">
                  <c:v>-37.3717135486962</c:v>
                </c:pt>
                <c:pt idx="139">
                  <c:v>-45.64297356929</c:v>
                </c:pt>
                <c:pt idx="140">
                  <c:v>-50.8395053458265</c:v>
                </c:pt>
                <c:pt idx="141">
                  <c:v>-52.8057804125969</c:v>
                </c:pt>
                <c:pt idx="142">
                  <c:v>-51.6472698927984</c:v>
                </c:pt>
                <c:pt idx="143">
                  <c:v>-47.6558134605814</c:v>
                </c:pt>
                <c:pt idx="144">
                  <c:v>-41.2394365851817</c:v>
                </c:pt>
                <c:pt idx="145">
                  <c:v>-32.8714678640016</c:v>
                </c:pt>
                <c:pt idx="146">
                  <c:v>-23.0587833464353</c:v>
                </c:pt>
                <c:pt idx="147">
                  <c:v>-12.3213958857919</c:v>
                </c:pt>
                <c:pt idx="148">
                  <c:v>-1.17582879366761</c:v>
                </c:pt>
                <c:pt idx="149">
                  <c:v>9.88100170488519</c:v>
                </c:pt>
                <c:pt idx="150">
                  <c:v>20.3866511575553</c:v>
                </c:pt>
                <c:pt idx="151">
                  <c:v>29.9245953654991</c:v>
                </c:pt>
                <c:pt idx="152">
                  <c:v>38.1309980383893</c:v>
                </c:pt>
                <c:pt idx="153">
                  <c:v>44.697017153972</c:v>
                </c:pt>
                <c:pt idx="154">
                  <c:v>49.3675874898994</c:v>
                </c:pt>
                <c:pt idx="155">
                  <c:v>51.9376740840318</c:v>
                </c:pt>
                <c:pt idx="156">
                  <c:v>52.2475772171411</c:v>
                </c:pt>
                <c:pt idx="157">
                  <c:v>50.1808838026788</c:v>
                </c:pt>
                <c:pt idx="158">
                  <c:v>45.6714633029515</c:v>
                </c:pt>
                <c:pt idx="159">
                  <c:v>38.7271175229072</c:v>
                </c:pt>
                <c:pt idx="160">
                  <c:v>29.4740395031527</c:v>
                </c:pt>
                <c:pt idx="161">
                  <c:v>18.2163288576028</c:v>
                </c:pt>
                <c:pt idx="162">
                  <c:v>5.4903529151516</c:v>
                </c:pt>
                <c:pt idx="163">
                  <c:v>-7.91802300617855</c:v>
                </c:pt>
                <c:pt idx="164">
                  <c:v>-21.023572438209</c:v>
                </c:pt>
                <c:pt idx="165">
                  <c:v>-32.7672203830064</c:v>
                </c:pt>
                <c:pt idx="166">
                  <c:v>-42.1886963858372</c:v>
                </c:pt>
                <c:pt idx="167">
                  <c:v>-48.5890340043503</c:v>
                </c:pt>
                <c:pt idx="168">
                  <c:v>-51.6255104999251</c:v>
                </c:pt>
                <c:pt idx="169">
                  <c:v>-51.3131310685563</c:v>
                </c:pt>
                <c:pt idx="170">
                  <c:v>-47.9492249585939</c:v>
                </c:pt>
                <c:pt idx="171">
                  <c:v>-42.004537313907</c:v>
                </c:pt>
                <c:pt idx="172">
                  <c:v>-34.0238791161151</c:v>
                </c:pt>
                <c:pt idx="173">
                  <c:v>-24.5600935993077</c:v>
                </c:pt>
                <c:pt idx="174">
                  <c:v>-14.1430294432425</c:v>
                </c:pt>
                <c:pt idx="175">
                  <c:v>-3.2717781775095</c:v>
                </c:pt>
                <c:pt idx="176">
                  <c:v>7.58406878690889</c:v>
                </c:pt>
                <c:pt idx="177">
                  <c:v>17.983815088065</c:v>
                </c:pt>
                <c:pt idx="178">
                  <c:v>27.5190778611396</c:v>
                </c:pt>
                <c:pt idx="179">
                  <c:v>35.8202880324654</c:v>
                </c:pt>
                <c:pt idx="180">
                  <c:v>42.5640234586638</c:v>
                </c:pt>
                <c:pt idx="181">
                  <c:v>47.4795411865312</c:v>
                </c:pt>
                <c:pt idx="182">
                  <c:v>50.3537696850709</c:v>
                </c:pt>
                <c:pt idx="183">
                  <c:v>51.0344442833417</c:v>
                </c:pt>
                <c:pt idx="184">
                  <c:v>49.4315514951906</c:v>
                </c:pt>
                <c:pt idx="185">
                  <c:v>45.518737677075</c:v>
                </c:pt>
                <c:pt idx="186">
                  <c:v>39.3388256298466</c:v>
                </c:pt>
                <c:pt idx="187">
                  <c:v>31.0193782336412</c:v>
                </c:pt>
                <c:pt idx="188">
                  <c:v>20.802582121552</c:v>
                </c:pt>
                <c:pt idx="189">
                  <c:v>9.08652224999752</c:v>
                </c:pt>
                <c:pt idx="190">
                  <c:v>-3.53697311655848</c:v>
                </c:pt>
                <c:pt idx="191">
                  <c:v>-16.2739160420788</c:v>
                </c:pt>
                <c:pt idx="192">
                  <c:v>-28.1764352865142</c:v>
                </c:pt>
                <c:pt idx="193">
                  <c:v>-38.2585789891505</c:v>
                </c:pt>
                <c:pt idx="194">
                  <c:v>-45.6585993527782</c:v>
                </c:pt>
                <c:pt idx="195">
                  <c:v>-49.7960741317068</c:v>
                </c:pt>
                <c:pt idx="196">
                  <c:v>-50.4653495533672</c:v>
                </c:pt>
                <c:pt idx="197">
                  <c:v>-47.8328119021251</c:v>
                </c:pt>
                <c:pt idx="198">
                  <c:v>-42.3493171163314</c:v>
                </c:pt>
                <c:pt idx="199">
                  <c:v>-34.6225981202724</c:v>
                </c:pt>
                <c:pt idx="200">
                  <c:v>-25.2996881941738</c:v>
                </c:pt>
                <c:pt idx="201">
                  <c:v>-14.9902524287925</c:v>
                </c:pt>
                <c:pt idx="202">
                  <c:v>-4.23553114483459</c:v>
                </c:pt>
                <c:pt idx="203">
                  <c:v>6.49053381986852</c:v>
                </c:pt>
                <c:pt idx="204">
                  <c:v>16.7666174276622</c:v>
                </c:pt>
                <c:pt idx="205">
                  <c:v>26.2100882975265</c:v>
                </c:pt>
                <c:pt idx="206">
                  <c:v>34.4704870822265</c:v>
                </c:pt>
                <c:pt idx="207">
                  <c:v>41.2308275610323</c:v>
                </c:pt>
                <c:pt idx="208">
                  <c:v>46.2143163642959</c:v>
                </c:pt>
                <c:pt idx="209">
                  <c:v>49.19403977088</c:v>
                </c:pt>
                <c:pt idx="210">
                  <c:v>50.0040429176415</c:v>
                </c:pt>
                <c:pt idx="211">
                  <c:v>48.5505713131028</c:v>
                </c:pt>
                <c:pt idx="212">
                  <c:v>44.8220047307954</c:v>
                </c:pt>
                <c:pt idx="213">
                  <c:v>38.8962708447026</c:v>
                </c:pt>
                <c:pt idx="214">
                  <c:v>30.9461554838462</c:v>
                </c:pt>
                <c:pt idx="215">
                  <c:v>21.2452660753731</c:v>
                </c:pt>
                <c:pt idx="216">
                  <c:v>10.1781415119021</c:v>
                </c:pt>
                <c:pt idx="217">
                  <c:v>-1.74534470616219</c:v>
                </c:pt>
                <c:pt idx="218">
                  <c:v>-13.8789235131864</c:v>
                </c:pt>
                <c:pt idx="219">
                  <c:v>-25.4486210078593</c:v>
                </c:pt>
                <c:pt idx="220">
                  <c:v>-35.6005255331553</c:v>
                </c:pt>
                <c:pt idx="221">
                  <c:v>-43.4972788331311</c:v>
                </c:pt>
                <c:pt idx="222">
                  <c:v>-48.4502157639039</c:v>
                </c:pt>
                <c:pt idx="223">
                  <c:v>-50.0487487217245</c:v>
                </c:pt>
                <c:pt idx="224">
                  <c:v>-48.2383369908524</c:v>
                </c:pt>
                <c:pt idx="225">
                  <c:v>-43.314772517721</c:v>
                </c:pt>
                <c:pt idx="226">
                  <c:v>-35.8386624494141</c:v>
                </c:pt>
                <c:pt idx="227">
                  <c:v>-26.507507045589</c:v>
                </c:pt>
                <c:pt idx="228">
                  <c:v>-16.0336797671305</c:v>
                </c:pt>
                <c:pt idx="229">
                  <c:v>-5.0625699870925</c:v>
                </c:pt>
                <c:pt idx="230">
                  <c:v>5.86020206968269</c:v>
                </c:pt>
                <c:pt idx="231">
                  <c:v>16.2841597950048</c:v>
                </c:pt>
                <c:pt idx="232">
                  <c:v>25.8316535434374</c:v>
                </c:pt>
                <c:pt idx="233">
                  <c:v>34.1747407236495</c:v>
                </c:pt>
                <c:pt idx="234">
                  <c:v>41.0204340428872</c:v>
                </c:pt>
                <c:pt idx="235">
                  <c:v>46.1064030394165</c:v>
                </c:pt>
                <c:pt idx="236">
                  <c:v>49.2054972842455</c:v>
                </c:pt>
                <c:pt idx="237">
                  <c:v>50.1369403355416</c:v>
                </c:pt>
                <c:pt idx="238">
                  <c:v>48.7827532008312</c:v>
                </c:pt>
                <c:pt idx="239">
                  <c:v>45.1078487439744</c:v>
                </c:pt>
                <c:pt idx="240">
                  <c:v>39.1806658711446</c:v>
                </c:pt>
                <c:pt idx="241">
                  <c:v>31.1894162738318</c:v>
                </c:pt>
                <c:pt idx="242">
                  <c:v>21.4490397980481</c:v>
                </c:pt>
                <c:pt idx="243">
                  <c:v>10.3967375568635</c:v>
                </c:pt>
                <c:pt idx="244">
                  <c:v>-1.42201281321635</c:v>
                </c:pt>
                <c:pt idx="245">
                  <c:v>-13.3729868442479</c:v>
                </c:pt>
                <c:pt idx="246">
                  <c:v>-24.7566376172498</c:v>
                </c:pt>
                <c:pt idx="247">
                  <c:v>-34.8395419753502</c:v>
                </c:pt>
                <c:pt idx="248">
                  <c:v>-42.9025590021782</c:v>
                </c:pt>
                <c:pt idx="249">
                  <c:v>-48.3119719663548</c:v>
                </c:pt>
                <c:pt idx="250">
                  <c:v>-50.6081572792105</c:v>
                </c:pt>
                <c:pt idx="251">
                  <c:v>-49.5900790005629</c:v>
                </c:pt>
                <c:pt idx="252">
                  <c:v>-45.3641559839145</c:v>
                </c:pt>
                <c:pt idx="253">
                  <c:v>-38.3327860591486</c:v>
                </c:pt>
                <c:pt idx="254">
                  <c:v>-29.1207298652939</c:v>
                </c:pt>
                <c:pt idx="255">
                  <c:v>-18.4638245026183</c:v>
                </c:pt>
                <c:pt idx="256">
                  <c:v>-7.09790538440304</c:v>
                </c:pt>
                <c:pt idx="257">
                  <c:v>4.32044213841358</c:v>
                </c:pt>
                <c:pt idx="258">
                  <c:v>15.2488862696102</c:v>
                </c:pt>
                <c:pt idx="259">
                  <c:v>25.2568977293218</c:v>
                </c:pt>
                <c:pt idx="260">
                  <c:v>34.0027106254943</c:v>
                </c:pt>
                <c:pt idx="261">
                  <c:v>41.2063477168085</c:v>
                </c:pt>
                <c:pt idx="262">
                  <c:v>46.629230651851</c:v>
                </c:pt>
                <c:pt idx="263">
                  <c:v>50.0642289986796</c:v>
                </c:pt>
                <c:pt idx="264">
                  <c:v>51.3361240932328</c:v>
                </c:pt>
                <c:pt idx="265">
                  <c:v>50.3117416142519</c:v>
                </c:pt>
                <c:pt idx="266">
                  <c:v>46.9195426355249</c:v>
                </c:pt>
                <c:pt idx="267">
                  <c:v>41.1777296505744</c:v>
                </c:pt>
                <c:pt idx="268">
                  <c:v>33.2266460333891</c:v>
                </c:pt>
                <c:pt idx="269">
                  <c:v>23.3566104846765</c:v>
                </c:pt>
                <c:pt idx="270">
                  <c:v>12.0196270353243</c:v>
                </c:pt>
                <c:pt idx="271">
                  <c:v>-0.184124435126651</c:v>
                </c:pt>
                <c:pt idx="272">
                  <c:v>-12.546215738372</c:v>
                </c:pt>
                <c:pt idx="273">
                  <c:v>-24.308106415102</c:v>
                </c:pt>
                <c:pt idx="274">
                  <c:v>-34.7241943770793</c:v>
                </c:pt>
                <c:pt idx="275">
                  <c:v>-43.1189163161484</c:v>
                </c:pt>
                <c:pt idx="276">
                  <c:v>-48.9345979091708</c:v>
                </c:pt>
                <c:pt idx="277">
                  <c:v>-51.7731046224389</c:v>
                </c:pt>
                <c:pt idx="278">
                  <c:v>-51.4340962238135</c:v>
                </c:pt>
                <c:pt idx="279">
                  <c:v>-47.9457675224573</c:v>
                </c:pt>
                <c:pt idx="280">
                  <c:v>-41.5761074534745</c:v>
                </c:pt>
                <c:pt idx="281">
                  <c:v>-32.811565888454</c:v>
                </c:pt>
                <c:pt idx="282">
                  <c:v>-22.2990818457164</c:v>
                </c:pt>
                <c:pt idx="283">
                  <c:v>-10.762440743104</c:v>
                </c:pt>
                <c:pt idx="284">
                  <c:v>1.08459902262384</c:v>
                </c:pt>
                <c:pt idx="285">
                  <c:v>12.6054652737502</c:v>
                </c:pt>
                <c:pt idx="286">
                  <c:v>23.2754385636861</c:v>
                </c:pt>
                <c:pt idx="287">
                  <c:v>32.6848842353458</c:v>
                </c:pt>
                <c:pt idx="288">
                  <c:v>40.5219005303252</c:v>
                </c:pt>
                <c:pt idx="289">
                  <c:v>46.5476392803579</c:v>
                </c:pt>
                <c:pt idx="290">
                  <c:v>50.5742708445702</c:v>
                </c:pt>
                <c:pt idx="291">
                  <c:v>52.4506577133416</c:v>
                </c:pt>
                <c:pt idx="292">
                  <c:v>52.0576197949573</c:v>
                </c:pt>
                <c:pt idx="293">
                  <c:v>49.3141294976467</c:v>
                </c:pt>
                <c:pt idx="294">
                  <c:v>44.1963138857495</c:v>
                </c:pt>
                <c:pt idx="295">
                  <c:v>36.7700282776604</c:v>
                </c:pt>
                <c:pt idx="296">
                  <c:v>27.2330466048128</c:v>
                </c:pt>
                <c:pt idx="297">
                  <c:v>15.9552762392545</c:v>
                </c:pt>
                <c:pt idx="298">
                  <c:v>3.49888750256671</c:v>
                </c:pt>
                <c:pt idx="299">
                  <c:v>-9.39936300098635</c:v>
                </c:pt>
                <c:pt idx="300">
                  <c:v>-21.8906381211348</c:v>
                </c:pt>
                <c:pt idx="301">
                  <c:v>-33.1106006015076</c:v>
                </c:pt>
                <c:pt idx="302">
                  <c:v>-42.2841863332811</c:v>
                </c:pt>
                <c:pt idx="303">
                  <c:v>-48.8099771490684</c:v>
                </c:pt>
                <c:pt idx="304">
                  <c:v>-52.3070374100694</c:v>
                </c:pt>
                <c:pt idx="305">
                  <c:v>-52.6246556733462</c:v>
                </c:pt>
                <c:pt idx="306">
                  <c:v>-49.8278305906005</c:v>
                </c:pt>
                <c:pt idx="307">
                  <c:v>-44.1725873459038</c:v>
                </c:pt>
                <c:pt idx="308">
                  <c:v>-36.0778527652392</c:v>
                </c:pt>
                <c:pt idx="309">
                  <c:v>-26.0922494694491</c:v>
                </c:pt>
                <c:pt idx="310">
                  <c:v>-14.8513794857658</c:v>
                </c:pt>
                <c:pt idx="311">
                  <c:v>-3.02534309950928</c:v>
                </c:pt>
                <c:pt idx="312">
                  <c:v>8.73659560287865</c:v>
                </c:pt>
                <c:pt idx="313">
                  <c:v>19.8529839576314</c:v>
                </c:pt>
                <c:pt idx="314">
                  <c:v>29.8393989014156</c:v>
                </c:pt>
                <c:pt idx="315">
                  <c:v>38.3170292490891</c:v>
                </c:pt>
                <c:pt idx="316">
                  <c:v>45.0046322890944</c:v>
                </c:pt>
                <c:pt idx="317">
                  <c:v>49.7014765067921</c:v>
                </c:pt>
                <c:pt idx="318">
                  <c:v>52.2685332577956</c:v>
                </c:pt>
                <c:pt idx="319">
                  <c:v>52.6128639995129</c:v>
                </c:pt>
                <c:pt idx="320">
                  <c:v>50.6784368971004</c:v>
                </c:pt>
                <c:pt idx="321">
                  <c:v>46.4466565311599</c:v>
                </c:pt>
                <c:pt idx="322">
                  <c:v>39.9506772715678</c:v>
                </c:pt>
                <c:pt idx="323">
                  <c:v>31.3065461451838</c:v>
                </c:pt>
                <c:pt idx="324">
                  <c:v>20.7589954900839</c:v>
                </c:pt>
                <c:pt idx="325">
                  <c:v>8.73012412437264</c:v>
                </c:pt>
                <c:pt idx="326">
                  <c:v>-4.15101233019352</c:v>
                </c:pt>
                <c:pt idx="327">
                  <c:v>-17.0634060414147</c:v>
                </c:pt>
                <c:pt idx="328">
                  <c:v>-29.068979867014</c:v>
                </c:pt>
                <c:pt idx="329">
                  <c:v>-39.2387172256173</c:v>
                </c:pt>
                <c:pt idx="330">
                  <c:v>-46.7951083618171</c:v>
                </c:pt>
                <c:pt idx="331">
                  <c:v>-51.22446277896</c:v>
                </c:pt>
                <c:pt idx="332">
                  <c:v>-52.3253542446183</c:v>
                </c:pt>
                <c:pt idx="333">
                  <c:v>-50.188883045079</c:v>
                </c:pt>
                <c:pt idx="334">
                  <c:v>-45.1336231357037</c:v>
                </c:pt>
                <c:pt idx="335">
                  <c:v>-37.6281077886549</c:v>
                </c:pt>
                <c:pt idx="336">
                  <c:v>-28.2254887951721</c:v>
                </c:pt>
                <c:pt idx="337">
                  <c:v>-17.5186232152031</c:v>
                </c:pt>
                <c:pt idx="338">
                  <c:v>-6.11066297854833</c:v>
                </c:pt>
                <c:pt idx="339">
                  <c:v>5.40815026894765</c:v>
                </c:pt>
                <c:pt idx="340">
                  <c:v>16.4835048811211</c:v>
                </c:pt>
                <c:pt idx="341">
                  <c:v>26.6198501452097</c:v>
                </c:pt>
                <c:pt idx="342">
                  <c:v>35.3990295244333</c:v>
                </c:pt>
                <c:pt idx="343">
                  <c:v>42.4906854468358</c:v>
                </c:pt>
                <c:pt idx="344">
                  <c:v>47.6531880668998</c:v>
                </c:pt>
                <c:pt idx="345">
                  <c:v>50.7268333694802</c:v>
                </c:pt>
                <c:pt idx="346">
                  <c:v>51.6225051110133</c:v>
                </c:pt>
                <c:pt idx="347">
                  <c:v>50.3090459379416</c:v>
                </c:pt>
                <c:pt idx="348">
                  <c:v>46.8025889221331</c:v>
                </c:pt>
                <c:pt idx="349">
                  <c:v>41.1620295361598</c:v>
                </c:pt>
                <c:pt idx="350">
                  <c:v>33.4960808902081</c:v>
                </c:pt>
                <c:pt idx="351">
                  <c:v>23.9868530073861</c:v>
                </c:pt>
                <c:pt idx="352">
                  <c:v>12.9302331416126</c:v>
                </c:pt>
                <c:pt idx="353">
                  <c:v>0.783686940809536</c:v>
                </c:pt>
                <c:pt idx="354">
                  <c:v>-11.799899110254</c:v>
                </c:pt>
                <c:pt idx="355">
                  <c:v>-23.9810509149876</c:v>
                </c:pt>
                <c:pt idx="356">
                  <c:v>-34.8075713715624</c:v>
                </c:pt>
                <c:pt idx="357">
                  <c:v>-43.3515782288436</c:v>
                </c:pt>
                <c:pt idx="358">
                  <c:v>-48.8743482972885</c:v>
                </c:pt>
                <c:pt idx="359">
                  <c:v>-50.9614359973514</c:v>
                </c:pt>
                <c:pt idx="360">
                  <c:v>-49.5780933667567</c:v>
                </c:pt>
                <c:pt idx="361">
                  <c:v>-45.0308691148224</c:v>
                </c:pt>
                <c:pt idx="362">
                  <c:v>-37.8626290749168</c:v>
                </c:pt>
                <c:pt idx="363">
                  <c:v>-28.7296297525442</c:v>
                </c:pt>
                <c:pt idx="364">
                  <c:v>-18.302473703225</c:v>
                </c:pt>
                <c:pt idx="365">
                  <c:v>-7.20909893957177</c:v>
                </c:pt>
              </c:numCache>
            </c:numRef>
          </c:yVal>
          <c:smooth val="0"/>
        </c:ser>
        <c:axId val="37496592"/>
        <c:axId val="68439435"/>
      </c:scatterChart>
      <c:valAx>
        <c:axId val="37496592"/>
        <c:scaling>
          <c:orientation val="minMax"/>
          <c:max val="366"/>
          <c:min val="1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3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300" spc="-1" strike="noStrike">
                    <a:solidFill>
                      <a:srgbClr val="000000"/>
                    </a:solidFill>
                    <a:latin typeface="Calibri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905870368973063"/>
              <c:y val="0.86501976284585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8439435"/>
        <c:crosses val="autoZero"/>
        <c:crossBetween val="midCat"/>
        <c:majorUnit val="30"/>
      </c:valAx>
      <c:valAx>
        <c:axId val="68439435"/>
        <c:scaling>
          <c:orientation val="minMax"/>
          <c:max val="360"/>
          <c:min val="-6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300" spc="-1" strike="noStrike">
                    <a:solidFill>
                      <a:srgbClr val="0000ff"/>
                    </a:solidFill>
                    <a:latin typeface="Calibri"/>
                  </a:defRPr>
                </a:pPr>
                <a:r>
                  <a:rPr b="1" sz="1300" spc="-1" strike="noStrike">
                    <a:solidFill>
                      <a:srgbClr val="0000ff"/>
                    </a:solidFill>
                    <a:latin typeface="Calibri"/>
                  </a:rPr>
                  <a:t>Lm</a:t>
                </a:r>
              </a:p>
            </c:rich>
          </c:tx>
          <c:layout>
            <c:manualLayout>
              <c:xMode val="edge"/>
              <c:yMode val="edge"/>
              <c:x val="0.82366256696597"/>
              <c:y val="-0.00645586297760211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7496592"/>
        <c:crosses val="autoZero"/>
        <c:crossBetween val="midCat"/>
        <c:majorUnit val="30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spPr>
            <a:noFill/>
            <a:ln cap="rnd" w="180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lun_ecl!$E$2:$E$367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lun_ecl!$I$2:$I$367</c:f>
              <c:numCache>
                <c:formatCode>General</c:formatCode>
                <c:ptCount val="366"/>
                <c:pt idx="0">
                  <c:v>-12.8827268204613</c:v>
                </c:pt>
                <c:pt idx="1">
                  <c:v>-25.5508761166881</c:v>
                </c:pt>
                <c:pt idx="2">
                  <c:v>-36.4005114031867</c:v>
                </c:pt>
                <c:pt idx="3">
                  <c:v>-44.6078950765045</c:v>
                </c:pt>
                <c:pt idx="4">
                  <c:v>-49.6752173632252</c:v>
                </c:pt>
                <c:pt idx="5">
                  <c:v>-51.4672355850508</c:v>
                </c:pt>
                <c:pt idx="6">
                  <c:v>-50.1593709334911</c:v>
                </c:pt>
                <c:pt idx="7">
                  <c:v>-46.1334322548896</c:v>
                </c:pt>
                <c:pt idx="8">
                  <c:v>-39.8682328667054</c:v>
                </c:pt>
                <c:pt idx="9">
                  <c:v>-31.8590773425046</c:v>
                </c:pt>
                <c:pt idx="10">
                  <c:v>-22.5770665972653</c:v>
                </c:pt>
                <c:pt idx="11">
                  <c:v>-12.460832063634</c:v>
                </c:pt>
                <c:pt idx="12">
                  <c:v>-1.92567319054914</c:v>
                </c:pt>
                <c:pt idx="13">
                  <c:v>8.62355725967563</c:v>
                </c:pt>
                <c:pt idx="14">
                  <c:v>18.7839746641635</c:v>
                </c:pt>
                <c:pt idx="15">
                  <c:v>28.1534585577153</c:v>
                </c:pt>
                <c:pt idx="16">
                  <c:v>36.3366432594681</c:v>
                </c:pt>
                <c:pt idx="17">
                  <c:v>42.9572213224921</c:v>
                </c:pt>
                <c:pt idx="18">
                  <c:v>47.6755123613836</c:v>
                </c:pt>
                <c:pt idx="19">
                  <c:v>50.2094376415562</c:v>
                </c:pt>
                <c:pt idx="20">
                  <c:v>50.3557015809638</c:v>
                </c:pt>
                <c:pt idx="21">
                  <c:v>48.0075589054025</c:v>
                </c:pt>
                <c:pt idx="22">
                  <c:v>43.167393892847</c:v>
                </c:pt>
                <c:pt idx="23">
                  <c:v>35.9560176738277</c:v>
                </c:pt>
                <c:pt idx="24">
                  <c:v>26.6234207182277</c:v>
                </c:pt>
                <c:pt idx="25">
                  <c:v>15.564300417324</c:v>
                </c:pt>
                <c:pt idx="26">
                  <c:v>3.3345898129333</c:v>
                </c:pt>
                <c:pt idx="27">
                  <c:v>-9.34486738205402</c:v>
                </c:pt>
                <c:pt idx="28">
                  <c:v>-21.61761717905</c:v>
                </c:pt>
                <c:pt idx="29">
                  <c:v>-32.5687455614138</c:v>
                </c:pt>
                <c:pt idx="30">
                  <c:v>-41.3454625863876</c:v>
                </c:pt>
                <c:pt idx="31">
                  <c:v>-47.2912656041569</c:v>
                </c:pt>
                <c:pt idx="32">
                  <c:v>-50.0485627785131</c:v>
                </c:pt>
                <c:pt idx="33">
                  <c:v>-49.5927455359909</c:v>
                </c:pt>
                <c:pt idx="34">
                  <c:v>-46.1897862891004</c:v>
                </c:pt>
                <c:pt idx="35">
                  <c:v>-40.3015705481555</c:v>
                </c:pt>
                <c:pt idx="36">
                  <c:v>-32.4791965360097</c:v>
                </c:pt>
                <c:pt idx="37">
                  <c:v>-23.2785736293207</c:v>
                </c:pt>
                <c:pt idx="38">
                  <c:v>-13.2136714111679</c:v>
                </c:pt>
                <c:pt idx="39">
                  <c:v>-2.74418649905076</c:v>
                </c:pt>
                <c:pt idx="40">
                  <c:v>7.71551437736062</c:v>
                </c:pt>
                <c:pt idx="41">
                  <c:v>17.7799924483774</c:v>
                </c:pt>
                <c:pt idx="42">
                  <c:v>27.0782214166723</c:v>
                </c:pt>
                <c:pt idx="43">
                  <c:v>35.2453427934085</c:v>
                </c:pt>
                <c:pt idx="44">
                  <c:v>41.92234981245</c:v>
                </c:pt>
                <c:pt idx="45">
                  <c:v>46.764961342727</c:v>
                </c:pt>
                <c:pt idx="46">
                  <c:v>49.4630578221456</c:v>
                </c:pt>
                <c:pt idx="47">
                  <c:v>49.7705482402466</c:v>
                </c:pt>
                <c:pt idx="48">
                  <c:v>47.5417828442065</c:v>
                </c:pt>
                <c:pt idx="49">
                  <c:v>42.7663392658032</c:v>
                </c:pt>
                <c:pt idx="50">
                  <c:v>35.5923650513807</c:v>
                </c:pt>
                <c:pt idx="51">
                  <c:v>26.331808837861</c:v>
                </c:pt>
                <c:pt idx="52">
                  <c:v>15.4476320997531</c:v>
                </c:pt>
                <c:pt idx="53">
                  <c:v>3.52908355151548</c:v>
                </c:pt>
                <c:pt idx="54">
                  <c:v>-8.73811967910827</c:v>
                </c:pt>
                <c:pt idx="55">
                  <c:v>-20.6050754971766</c:v>
                </c:pt>
                <c:pt idx="56">
                  <c:v>-31.3018179338209</c:v>
                </c:pt>
                <c:pt idx="57">
                  <c:v>-40.0958584144821</c:v>
                </c:pt>
                <c:pt idx="58">
                  <c:v>-46.367989689086</c:v>
                </c:pt>
                <c:pt idx="59">
                  <c:v>-49.6927751428154</c:v>
                </c:pt>
                <c:pt idx="60">
                  <c:v>-49.8997406485398</c:v>
                </c:pt>
                <c:pt idx="61">
                  <c:v>-47.091532528662</c:v>
                </c:pt>
                <c:pt idx="62">
                  <c:v>-41.6098300614882</c:v>
                </c:pt>
                <c:pt idx="63">
                  <c:v>-33.9607994064013</c:v>
                </c:pt>
                <c:pt idx="64">
                  <c:v>-24.7265742452658</c:v>
                </c:pt>
                <c:pt idx="65">
                  <c:v>-14.4898146093675</c:v>
                </c:pt>
                <c:pt idx="66">
                  <c:v>-3.7870377658578</c:v>
                </c:pt>
                <c:pt idx="67">
                  <c:v>6.90814493374098</c:v>
                </c:pt>
                <c:pt idx="68">
                  <c:v>17.1806086572641</c:v>
                </c:pt>
                <c:pt idx="69">
                  <c:v>26.6593474016499</c:v>
                </c:pt>
                <c:pt idx="70">
                  <c:v>35.0017489899978</c:v>
                </c:pt>
                <c:pt idx="71">
                  <c:v>41.8813240415431</c:v>
                </c:pt>
                <c:pt idx="72">
                  <c:v>46.9817708743266</c:v>
                </c:pt>
                <c:pt idx="73">
                  <c:v>50.0006954429114</c:v>
                </c:pt>
                <c:pt idx="74">
                  <c:v>50.6672676479048</c:v>
                </c:pt>
                <c:pt idx="75">
                  <c:v>48.776744428877</c:v>
                </c:pt>
                <c:pt idx="76">
                  <c:v>44.2393463221455</c:v>
                </c:pt>
                <c:pt idx="77">
                  <c:v>37.1325873932798</c:v>
                </c:pt>
                <c:pt idx="78">
                  <c:v>27.7393081049199</c:v>
                </c:pt>
                <c:pt idx="79">
                  <c:v>16.5539148607303</c:v>
                </c:pt>
                <c:pt idx="80">
                  <c:v>4.24898962946707</c:v>
                </c:pt>
                <c:pt idx="81">
                  <c:v>-8.39063532190848</c:v>
                </c:pt>
                <c:pt idx="82">
                  <c:v>-20.5477759238647</c:v>
                </c:pt>
                <c:pt idx="83">
                  <c:v>-31.4470825658631</c:v>
                </c:pt>
                <c:pt idx="84">
                  <c:v>-40.4125343750652</c:v>
                </c:pt>
                <c:pt idx="85">
                  <c:v>-46.9085160645408</c:v>
                </c:pt>
                <c:pt idx="86">
                  <c:v>-50.5705120574829</c:v>
                </c:pt>
                <c:pt idx="87">
                  <c:v>-51.2288491094002</c:v>
                </c:pt>
                <c:pt idx="88">
                  <c:v>-48.9217152750564</c:v>
                </c:pt>
                <c:pt idx="89">
                  <c:v>-43.8889289165057</c:v>
                </c:pt>
                <c:pt idx="90">
                  <c:v>-36.5405278407677</c:v>
                </c:pt>
                <c:pt idx="91">
                  <c:v>-27.4032307649918</c:v>
                </c:pt>
                <c:pt idx="92">
                  <c:v>-17.0571747879863</c:v>
                </c:pt>
                <c:pt idx="93">
                  <c:v>-6.07880157753333</c:v>
                </c:pt>
                <c:pt idx="94">
                  <c:v>4.99840617095038</c:v>
                </c:pt>
                <c:pt idx="95">
                  <c:v>15.7020305694761</c:v>
                </c:pt>
                <c:pt idx="96">
                  <c:v>25.6217095498147</c:v>
                </c:pt>
                <c:pt idx="97">
                  <c:v>34.4001408879926</c:v>
                </c:pt>
                <c:pt idx="98">
                  <c:v>41.7203543658166</c:v>
                </c:pt>
                <c:pt idx="99">
                  <c:v>47.293317996938</c:v>
                </c:pt>
                <c:pt idx="100">
                  <c:v>50.8490923494663</c:v>
                </c:pt>
                <c:pt idx="101">
                  <c:v>52.1360576761545</c:v>
                </c:pt>
                <c:pt idx="102">
                  <c:v>50.9346702766524</c:v>
                </c:pt>
                <c:pt idx="103">
                  <c:v>47.0916830984732</c:v>
                </c:pt>
                <c:pt idx="104">
                  <c:v>40.5750423222209</c:v>
                </c:pt>
                <c:pt idx="105">
                  <c:v>31.5386681327253</c:v>
                </c:pt>
                <c:pt idx="106">
                  <c:v>20.3744222877152</c:v>
                </c:pt>
                <c:pt idx="107">
                  <c:v>7.72384657771954</c:v>
                </c:pt>
                <c:pt idx="108">
                  <c:v>-5.56835312343933</c:v>
                </c:pt>
                <c:pt idx="109">
                  <c:v>-18.5547636217574</c:v>
                </c:pt>
                <c:pt idx="110">
                  <c:v>-30.3116336050532</c:v>
                </c:pt>
                <c:pt idx="111">
                  <c:v>-40.0528767180807</c:v>
                </c:pt>
                <c:pt idx="112">
                  <c:v>-47.202871215959</c:v>
                </c:pt>
                <c:pt idx="113">
                  <c:v>-51.4208310654591</c:v>
                </c:pt>
                <c:pt idx="114">
                  <c:v>-52.5888351964038</c:v>
                </c:pt>
                <c:pt idx="115">
                  <c:v>-50.7826692813168</c:v>
                </c:pt>
                <c:pt idx="116">
                  <c:v>-46.2396460737025</c:v>
                </c:pt>
                <c:pt idx="117">
                  <c:v>-39.327825182659</c:v>
                </c:pt>
                <c:pt idx="118">
                  <c:v>-30.5142645936851</c:v>
                </c:pt>
                <c:pt idx="119">
                  <c:v>-20.3294336775814</c:v>
                </c:pt>
                <c:pt idx="120">
                  <c:v>-9.32889830262057</c:v>
                </c:pt>
                <c:pt idx="121">
                  <c:v>1.94253893054818</c:v>
                </c:pt>
                <c:pt idx="122">
                  <c:v>12.9782789551834</c:v>
                </c:pt>
                <c:pt idx="123">
                  <c:v>23.3257242261966</c:v>
                </c:pt>
                <c:pt idx="124">
                  <c:v>32.5911206785966</c:v>
                </c:pt>
                <c:pt idx="125">
                  <c:v>40.4366086916577</c:v>
                </c:pt>
                <c:pt idx="126">
                  <c:v>46.5728728820167</c:v>
                </c:pt>
                <c:pt idx="127">
                  <c:v>50.7499723661054</c:v>
                </c:pt>
                <c:pt idx="128">
                  <c:v>52.7490317409464</c:v>
                </c:pt>
                <c:pt idx="129">
                  <c:v>52.3793857811493</c:v>
                </c:pt>
                <c:pt idx="130">
                  <c:v>49.4883779185064</c:v>
                </c:pt>
                <c:pt idx="131">
                  <c:v>43.9914565104032</c:v>
                </c:pt>
                <c:pt idx="132">
                  <c:v>35.9253442688642</c:v>
                </c:pt>
                <c:pt idx="133">
                  <c:v>25.5156808466704</c:v>
                </c:pt>
                <c:pt idx="134">
                  <c:v>13.2358634001575</c:v>
                </c:pt>
                <c:pt idx="135">
                  <c:v>-0.175664241665054</c:v>
                </c:pt>
                <c:pt idx="136">
                  <c:v>-13.7664428731431</c:v>
                </c:pt>
                <c:pt idx="137">
                  <c:v>-26.4911955145883</c:v>
                </c:pt>
                <c:pt idx="138">
                  <c:v>-37.3717135486962</c:v>
                </c:pt>
                <c:pt idx="139">
                  <c:v>-45.64297356929</c:v>
                </c:pt>
                <c:pt idx="140">
                  <c:v>-50.8395053458265</c:v>
                </c:pt>
                <c:pt idx="141">
                  <c:v>-52.8057804125969</c:v>
                </c:pt>
                <c:pt idx="142">
                  <c:v>-51.6472698927984</c:v>
                </c:pt>
                <c:pt idx="143">
                  <c:v>-47.6558134605814</c:v>
                </c:pt>
                <c:pt idx="144">
                  <c:v>-41.2394365851817</c:v>
                </c:pt>
                <c:pt idx="145">
                  <c:v>-32.8714678640016</c:v>
                </c:pt>
                <c:pt idx="146">
                  <c:v>-23.0587833464353</c:v>
                </c:pt>
                <c:pt idx="147">
                  <c:v>-12.3213958857919</c:v>
                </c:pt>
                <c:pt idx="148">
                  <c:v>-1.17582879366761</c:v>
                </c:pt>
                <c:pt idx="149">
                  <c:v>9.88100170488519</c:v>
                </c:pt>
                <c:pt idx="150">
                  <c:v>20.3866511575553</c:v>
                </c:pt>
                <c:pt idx="151">
                  <c:v>29.9245953654991</c:v>
                </c:pt>
                <c:pt idx="152">
                  <c:v>38.1309980383893</c:v>
                </c:pt>
                <c:pt idx="153">
                  <c:v>44.697017153972</c:v>
                </c:pt>
                <c:pt idx="154">
                  <c:v>49.3675874898994</c:v>
                </c:pt>
                <c:pt idx="155">
                  <c:v>51.9376740840318</c:v>
                </c:pt>
                <c:pt idx="156">
                  <c:v>52.2475772171411</c:v>
                </c:pt>
                <c:pt idx="157">
                  <c:v>50.1808838026788</c:v>
                </c:pt>
                <c:pt idx="158">
                  <c:v>45.6714633029515</c:v>
                </c:pt>
                <c:pt idx="159">
                  <c:v>38.7271175229072</c:v>
                </c:pt>
                <c:pt idx="160">
                  <c:v>29.4740395031527</c:v>
                </c:pt>
                <c:pt idx="161">
                  <c:v>18.2163288576028</c:v>
                </c:pt>
                <c:pt idx="162">
                  <c:v>5.4903529151516</c:v>
                </c:pt>
                <c:pt idx="163">
                  <c:v>-7.91802300617855</c:v>
                </c:pt>
                <c:pt idx="164">
                  <c:v>-21.023572438209</c:v>
                </c:pt>
                <c:pt idx="165">
                  <c:v>-32.7672203830064</c:v>
                </c:pt>
                <c:pt idx="166">
                  <c:v>-42.1886963858372</c:v>
                </c:pt>
                <c:pt idx="167">
                  <c:v>-48.5890340043503</c:v>
                </c:pt>
                <c:pt idx="168">
                  <c:v>-51.6255104999251</c:v>
                </c:pt>
                <c:pt idx="169">
                  <c:v>-51.3131310685563</c:v>
                </c:pt>
                <c:pt idx="170">
                  <c:v>-47.9492249585939</c:v>
                </c:pt>
                <c:pt idx="171">
                  <c:v>-42.004537313907</c:v>
                </c:pt>
                <c:pt idx="172">
                  <c:v>-34.0238791161151</c:v>
                </c:pt>
                <c:pt idx="173">
                  <c:v>-24.5600935993077</c:v>
                </c:pt>
                <c:pt idx="174">
                  <c:v>-14.1430294432425</c:v>
                </c:pt>
                <c:pt idx="175">
                  <c:v>-3.2717781775095</c:v>
                </c:pt>
                <c:pt idx="176">
                  <c:v>7.58406878690889</c:v>
                </c:pt>
                <c:pt idx="177">
                  <c:v>17.983815088065</c:v>
                </c:pt>
                <c:pt idx="178">
                  <c:v>27.5190778611396</c:v>
                </c:pt>
                <c:pt idx="179">
                  <c:v>35.8202880324654</c:v>
                </c:pt>
                <c:pt idx="180">
                  <c:v>42.5640234586638</c:v>
                </c:pt>
                <c:pt idx="181">
                  <c:v>47.4795411865312</c:v>
                </c:pt>
                <c:pt idx="182">
                  <c:v>50.3537696850709</c:v>
                </c:pt>
                <c:pt idx="183">
                  <c:v>51.0344442833417</c:v>
                </c:pt>
                <c:pt idx="184">
                  <c:v>49.4315514951906</c:v>
                </c:pt>
                <c:pt idx="185">
                  <c:v>45.518737677075</c:v>
                </c:pt>
                <c:pt idx="186">
                  <c:v>39.3388256298466</c:v>
                </c:pt>
                <c:pt idx="187">
                  <c:v>31.0193782336412</c:v>
                </c:pt>
                <c:pt idx="188">
                  <c:v>20.802582121552</c:v>
                </c:pt>
                <c:pt idx="189">
                  <c:v>9.08652224999752</c:v>
                </c:pt>
                <c:pt idx="190">
                  <c:v>-3.53697311655848</c:v>
                </c:pt>
                <c:pt idx="191">
                  <c:v>-16.2739160420788</c:v>
                </c:pt>
                <c:pt idx="192">
                  <c:v>-28.1764352865142</c:v>
                </c:pt>
                <c:pt idx="193">
                  <c:v>-38.2585789891505</c:v>
                </c:pt>
                <c:pt idx="194">
                  <c:v>-45.6585993527782</c:v>
                </c:pt>
                <c:pt idx="195">
                  <c:v>-49.7960741317068</c:v>
                </c:pt>
                <c:pt idx="196">
                  <c:v>-50.4653495533672</c:v>
                </c:pt>
                <c:pt idx="197">
                  <c:v>-47.8328119021251</c:v>
                </c:pt>
                <c:pt idx="198">
                  <c:v>-42.3493171163314</c:v>
                </c:pt>
                <c:pt idx="199">
                  <c:v>-34.6225981202724</c:v>
                </c:pt>
                <c:pt idx="200">
                  <c:v>-25.2996881941738</c:v>
                </c:pt>
                <c:pt idx="201">
                  <c:v>-14.9902524287925</c:v>
                </c:pt>
                <c:pt idx="202">
                  <c:v>-4.23553114483459</c:v>
                </c:pt>
                <c:pt idx="203">
                  <c:v>6.49053381986852</c:v>
                </c:pt>
                <c:pt idx="204">
                  <c:v>16.7666174276622</c:v>
                </c:pt>
                <c:pt idx="205">
                  <c:v>26.2100882975265</c:v>
                </c:pt>
                <c:pt idx="206">
                  <c:v>34.4704870822265</c:v>
                </c:pt>
                <c:pt idx="207">
                  <c:v>41.2308275610323</c:v>
                </c:pt>
                <c:pt idx="208">
                  <c:v>46.2143163642959</c:v>
                </c:pt>
                <c:pt idx="209">
                  <c:v>49.19403977088</c:v>
                </c:pt>
                <c:pt idx="210">
                  <c:v>50.0040429176415</c:v>
                </c:pt>
                <c:pt idx="211">
                  <c:v>48.5505713131028</c:v>
                </c:pt>
                <c:pt idx="212">
                  <c:v>44.8220047307954</c:v>
                </c:pt>
                <c:pt idx="213">
                  <c:v>38.8962708447026</c:v>
                </c:pt>
                <c:pt idx="214">
                  <c:v>30.9461554838462</c:v>
                </c:pt>
                <c:pt idx="215">
                  <c:v>21.2452660753731</c:v>
                </c:pt>
                <c:pt idx="216">
                  <c:v>10.1781415119021</c:v>
                </c:pt>
                <c:pt idx="217">
                  <c:v>-1.74534470616219</c:v>
                </c:pt>
                <c:pt idx="218">
                  <c:v>-13.8789235131864</c:v>
                </c:pt>
                <c:pt idx="219">
                  <c:v>-25.4486210078593</c:v>
                </c:pt>
                <c:pt idx="220">
                  <c:v>-35.6005255331553</c:v>
                </c:pt>
                <c:pt idx="221">
                  <c:v>-43.4972788331311</c:v>
                </c:pt>
                <c:pt idx="222">
                  <c:v>-48.4502157639039</c:v>
                </c:pt>
                <c:pt idx="223">
                  <c:v>-50.0487487217245</c:v>
                </c:pt>
                <c:pt idx="224">
                  <c:v>-48.2383369908524</c:v>
                </c:pt>
                <c:pt idx="225">
                  <c:v>-43.314772517721</c:v>
                </c:pt>
                <c:pt idx="226">
                  <c:v>-35.8386624494141</c:v>
                </c:pt>
                <c:pt idx="227">
                  <c:v>-26.507507045589</c:v>
                </c:pt>
                <c:pt idx="228">
                  <c:v>-16.0336797671305</c:v>
                </c:pt>
                <c:pt idx="229">
                  <c:v>-5.0625699870925</c:v>
                </c:pt>
                <c:pt idx="230">
                  <c:v>5.86020206968269</c:v>
                </c:pt>
                <c:pt idx="231">
                  <c:v>16.2841597950048</c:v>
                </c:pt>
                <c:pt idx="232">
                  <c:v>25.8316535434374</c:v>
                </c:pt>
                <c:pt idx="233">
                  <c:v>34.1747407236495</c:v>
                </c:pt>
                <c:pt idx="234">
                  <c:v>41.0204340428872</c:v>
                </c:pt>
                <c:pt idx="235">
                  <c:v>46.1064030394165</c:v>
                </c:pt>
                <c:pt idx="236">
                  <c:v>49.2054972842455</c:v>
                </c:pt>
                <c:pt idx="237">
                  <c:v>50.1369403355416</c:v>
                </c:pt>
                <c:pt idx="238">
                  <c:v>48.7827532008312</c:v>
                </c:pt>
                <c:pt idx="239">
                  <c:v>45.1078487439744</c:v>
                </c:pt>
                <c:pt idx="240">
                  <c:v>39.1806658711446</c:v>
                </c:pt>
                <c:pt idx="241">
                  <c:v>31.1894162738318</c:v>
                </c:pt>
                <c:pt idx="242">
                  <c:v>21.4490397980481</c:v>
                </c:pt>
                <c:pt idx="243">
                  <c:v>10.3967375568635</c:v>
                </c:pt>
                <c:pt idx="244">
                  <c:v>-1.42201281321635</c:v>
                </c:pt>
                <c:pt idx="245">
                  <c:v>-13.3729868442479</c:v>
                </c:pt>
                <c:pt idx="246">
                  <c:v>-24.7566376172498</c:v>
                </c:pt>
                <c:pt idx="247">
                  <c:v>-34.8395419753502</c:v>
                </c:pt>
                <c:pt idx="248">
                  <c:v>-42.9025590021782</c:v>
                </c:pt>
                <c:pt idx="249">
                  <c:v>-48.3119719663548</c:v>
                </c:pt>
                <c:pt idx="250">
                  <c:v>-50.6081572792105</c:v>
                </c:pt>
                <c:pt idx="251">
                  <c:v>-49.5900790005629</c:v>
                </c:pt>
                <c:pt idx="252">
                  <c:v>-45.3641559839145</c:v>
                </c:pt>
                <c:pt idx="253">
                  <c:v>-38.3327860591486</c:v>
                </c:pt>
                <c:pt idx="254">
                  <c:v>-29.1207298652939</c:v>
                </c:pt>
                <c:pt idx="255">
                  <c:v>-18.4638245026183</c:v>
                </c:pt>
                <c:pt idx="256">
                  <c:v>-7.09790538440304</c:v>
                </c:pt>
                <c:pt idx="257">
                  <c:v>4.32044213841358</c:v>
                </c:pt>
                <c:pt idx="258">
                  <c:v>15.2488862696102</c:v>
                </c:pt>
                <c:pt idx="259">
                  <c:v>25.2568977293218</c:v>
                </c:pt>
                <c:pt idx="260">
                  <c:v>34.0027106254943</c:v>
                </c:pt>
                <c:pt idx="261">
                  <c:v>41.2063477168085</c:v>
                </c:pt>
                <c:pt idx="262">
                  <c:v>46.629230651851</c:v>
                </c:pt>
                <c:pt idx="263">
                  <c:v>50.0642289986796</c:v>
                </c:pt>
                <c:pt idx="264">
                  <c:v>51.3361240932328</c:v>
                </c:pt>
                <c:pt idx="265">
                  <c:v>50.3117416142519</c:v>
                </c:pt>
                <c:pt idx="266">
                  <c:v>46.9195426355249</c:v>
                </c:pt>
                <c:pt idx="267">
                  <c:v>41.1777296505744</c:v>
                </c:pt>
                <c:pt idx="268">
                  <c:v>33.2266460333891</c:v>
                </c:pt>
                <c:pt idx="269">
                  <c:v>23.3566104846765</c:v>
                </c:pt>
                <c:pt idx="270">
                  <c:v>12.0196270353243</c:v>
                </c:pt>
                <c:pt idx="271">
                  <c:v>-0.184124435126651</c:v>
                </c:pt>
                <c:pt idx="272">
                  <c:v>-12.546215738372</c:v>
                </c:pt>
                <c:pt idx="273">
                  <c:v>-24.308106415102</c:v>
                </c:pt>
                <c:pt idx="274">
                  <c:v>-34.7241943770793</c:v>
                </c:pt>
                <c:pt idx="275">
                  <c:v>-43.1189163161484</c:v>
                </c:pt>
                <c:pt idx="276">
                  <c:v>-48.9345979091708</c:v>
                </c:pt>
                <c:pt idx="277">
                  <c:v>-51.7731046224389</c:v>
                </c:pt>
                <c:pt idx="278">
                  <c:v>-51.4340962238135</c:v>
                </c:pt>
                <c:pt idx="279">
                  <c:v>-47.9457675224573</c:v>
                </c:pt>
                <c:pt idx="280">
                  <c:v>-41.5761074534745</c:v>
                </c:pt>
                <c:pt idx="281">
                  <c:v>-32.811565888454</c:v>
                </c:pt>
                <c:pt idx="282">
                  <c:v>-22.2990818457164</c:v>
                </c:pt>
                <c:pt idx="283">
                  <c:v>-10.762440743104</c:v>
                </c:pt>
                <c:pt idx="284">
                  <c:v>1.08459902262384</c:v>
                </c:pt>
                <c:pt idx="285">
                  <c:v>12.6054652737502</c:v>
                </c:pt>
                <c:pt idx="286">
                  <c:v>23.2754385636861</c:v>
                </c:pt>
                <c:pt idx="287">
                  <c:v>32.6848842353458</c:v>
                </c:pt>
                <c:pt idx="288">
                  <c:v>40.5219005303252</c:v>
                </c:pt>
                <c:pt idx="289">
                  <c:v>46.5476392803579</c:v>
                </c:pt>
                <c:pt idx="290">
                  <c:v>50.5742708445702</c:v>
                </c:pt>
                <c:pt idx="291">
                  <c:v>52.4506577133416</c:v>
                </c:pt>
                <c:pt idx="292">
                  <c:v>52.0576197949573</c:v>
                </c:pt>
                <c:pt idx="293">
                  <c:v>49.3141294976467</c:v>
                </c:pt>
                <c:pt idx="294">
                  <c:v>44.1963138857495</c:v>
                </c:pt>
                <c:pt idx="295">
                  <c:v>36.7700282776604</c:v>
                </c:pt>
                <c:pt idx="296">
                  <c:v>27.2330466048128</c:v>
                </c:pt>
                <c:pt idx="297">
                  <c:v>15.9552762392545</c:v>
                </c:pt>
                <c:pt idx="298">
                  <c:v>3.49888750256671</c:v>
                </c:pt>
                <c:pt idx="299">
                  <c:v>-9.39936300098635</c:v>
                </c:pt>
                <c:pt idx="300">
                  <c:v>-21.8906381211348</c:v>
                </c:pt>
                <c:pt idx="301">
                  <c:v>-33.1106006015076</c:v>
                </c:pt>
                <c:pt idx="302">
                  <c:v>-42.2841863332811</c:v>
                </c:pt>
                <c:pt idx="303">
                  <c:v>-48.8099771490684</c:v>
                </c:pt>
                <c:pt idx="304">
                  <c:v>-52.3070374100694</c:v>
                </c:pt>
                <c:pt idx="305">
                  <c:v>-52.6246556733462</c:v>
                </c:pt>
                <c:pt idx="306">
                  <c:v>-49.8278305906005</c:v>
                </c:pt>
                <c:pt idx="307">
                  <c:v>-44.1725873459038</c:v>
                </c:pt>
                <c:pt idx="308">
                  <c:v>-36.0778527652392</c:v>
                </c:pt>
                <c:pt idx="309">
                  <c:v>-26.0922494694491</c:v>
                </c:pt>
                <c:pt idx="310">
                  <c:v>-14.8513794857658</c:v>
                </c:pt>
                <c:pt idx="311">
                  <c:v>-3.02534309950928</c:v>
                </c:pt>
                <c:pt idx="312">
                  <c:v>8.73659560287865</c:v>
                </c:pt>
                <c:pt idx="313">
                  <c:v>19.8529839576314</c:v>
                </c:pt>
                <c:pt idx="314">
                  <c:v>29.8393989014156</c:v>
                </c:pt>
                <c:pt idx="315">
                  <c:v>38.3170292490891</c:v>
                </c:pt>
                <c:pt idx="316">
                  <c:v>45.0046322890944</c:v>
                </c:pt>
                <c:pt idx="317">
                  <c:v>49.7014765067921</c:v>
                </c:pt>
                <c:pt idx="318">
                  <c:v>52.2685332577956</c:v>
                </c:pt>
                <c:pt idx="319">
                  <c:v>52.6128639995129</c:v>
                </c:pt>
                <c:pt idx="320">
                  <c:v>50.6784368971004</c:v>
                </c:pt>
                <c:pt idx="321">
                  <c:v>46.4466565311599</c:v>
                </c:pt>
                <c:pt idx="322">
                  <c:v>39.9506772715678</c:v>
                </c:pt>
                <c:pt idx="323">
                  <c:v>31.3065461451838</c:v>
                </c:pt>
                <c:pt idx="324">
                  <c:v>20.7589954900839</c:v>
                </c:pt>
                <c:pt idx="325">
                  <c:v>8.73012412437264</c:v>
                </c:pt>
                <c:pt idx="326">
                  <c:v>-4.15101233019352</c:v>
                </c:pt>
                <c:pt idx="327">
                  <c:v>-17.0634060414147</c:v>
                </c:pt>
                <c:pt idx="328">
                  <c:v>-29.068979867014</c:v>
                </c:pt>
                <c:pt idx="329">
                  <c:v>-39.2387172256173</c:v>
                </c:pt>
                <c:pt idx="330">
                  <c:v>-46.7951083618171</c:v>
                </c:pt>
                <c:pt idx="331">
                  <c:v>-51.22446277896</c:v>
                </c:pt>
                <c:pt idx="332">
                  <c:v>-52.3253542446183</c:v>
                </c:pt>
                <c:pt idx="333">
                  <c:v>-50.188883045079</c:v>
                </c:pt>
                <c:pt idx="334">
                  <c:v>-45.1336231357037</c:v>
                </c:pt>
                <c:pt idx="335">
                  <c:v>-37.6281077886549</c:v>
                </c:pt>
                <c:pt idx="336">
                  <c:v>-28.2254887951721</c:v>
                </c:pt>
                <c:pt idx="337">
                  <c:v>-17.5186232152031</c:v>
                </c:pt>
                <c:pt idx="338">
                  <c:v>-6.11066297854833</c:v>
                </c:pt>
                <c:pt idx="339">
                  <c:v>5.40815026894765</c:v>
                </c:pt>
                <c:pt idx="340">
                  <c:v>16.4835048811211</c:v>
                </c:pt>
                <c:pt idx="341">
                  <c:v>26.6198501452097</c:v>
                </c:pt>
                <c:pt idx="342">
                  <c:v>35.3990295244333</c:v>
                </c:pt>
                <c:pt idx="343">
                  <c:v>42.4906854468358</c:v>
                </c:pt>
                <c:pt idx="344">
                  <c:v>47.6531880668998</c:v>
                </c:pt>
                <c:pt idx="345">
                  <c:v>50.7268333694802</c:v>
                </c:pt>
                <c:pt idx="346">
                  <c:v>51.6225051110133</c:v>
                </c:pt>
                <c:pt idx="347">
                  <c:v>50.3090459379416</c:v>
                </c:pt>
                <c:pt idx="348">
                  <c:v>46.8025889221331</c:v>
                </c:pt>
                <c:pt idx="349">
                  <c:v>41.1620295361598</c:v>
                </c:pt>
                <c:pt idx="350">
                  <c:v>33.4960808902081</c:v>
                </c:pt>
                <c:pt idx="351">
                  <c:v>23.9868530073861</c:v>
                </c:pt>
                <c:pt idx="352">
                  <c:v>12.9302331416126</c:v>
                </c:pt>
                <c:pt idx="353">
                  <c:v>0.783686940809536</c:v>
                </c:pt>
                <c:pt idx="354">
                  <c:v>-11.799899110254</c:v>
                </c:pt>
                <c:pt idx="355">
                  <c:v>-23.9810509149876</c:v>
                </c:pt>
                <c:pt idx="356">
                  <c:v>-34.8075713715624</c:v>
                </c:pt>
                <c:pt idx="357">
                  <c:v>-43.3515782288436</c:v>
                </c:pt>
                <c:pt idx="358">
                  <c:v>-48.8743482972885</c:v>
                </c:pt>
                <c:pt idx="359">
                  <c:v>-50.9614359973514</c:v>
                </c:pt>
                <c:pt idx="360">
                  <c:v>-49.5780933667567</c:v>
                </c:pt>
                <c:pt idx="361">
                  <c:v>-45.0308691148224</c:v>
                </c:pt>
                <c:pt idx="362">
                  <c:v>-37.8626290749168</c:v>
                </c:pt>
                <c:pt idx="363">
                  <c:v>-28.7296297525442</c:v>
                </c:pt>
                <c:pt idx="364">
                  <c:v>-18.302473703225</c:v>
                </c:pt>
                <c:pt idx="365">
                  <c:v>-7.20909893957177</c:v>
                </c:pt>
              </c:numCache>
            </c:numRef>
          </c:yVal>
          <c:smooth val="0"/>
        </c:ser>
        <c:ser>
          <c:idx val="1"/>
          <c:order val="1"/>
          <c:spPr>
            <a:noFill/>
            <a:ln cap="rnd" w="180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lun_ecl!$E$2:$E$367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lun_ecl!$J$2:$J$367</c:f>
              <c:numCache>
                <c:formatCode>General</c:formatCode>
                <c:ptCount val="366"/>
                <c:pt idx="0">
                  <c:v>154.867667301333</c:v>
                </c:pt>
                <c:pt idx="1">
                  <c:v>169.008799834229</c:v>
                </c:pt>
                <c:pt idx="2">
                  <c:v>176.832931242198</c:v>
                </c:pt>
                <c:pt idx="3">
                  <c:v>162.815159541682</c:v>
                </c:pt>
                <c:pt idx="4">
                  <c:v>149.082557106341</c:v>
                </c:pt>
                <c:pt idx="5">
                  <c:v>135.747766173511</c:v>
                </c:pt>
                <c:pt idx="6">
                  <c:v>122.87877613885</c:v>
                </c:pt>
                <c:pt idx="7">
                  <c:v>110.494804988594</c:v>
                </c:pt>
                <c:pt idx="8">
                  <c:v>98.5704343101499</c:v>
                </c:pt>
                <c:pt idx="9">
                  <c:v>87.0457772224474</c:v>
                </c:pt>
                <c:pt idx="10">
                  <c:v>75.8394163165466</c:v>
                </c:pt>
                <c:pt idx="11">
                  <c:v>64.860940818461</c:v>
                </c:pt>
                <c:pt idx="12">
                  <c:v>54.0209187852272</c:v>
                </c:pt>
                <c:pt idx="13">
                  <c:v>43.2375363263454</c:v>
                </c:pt>
                <c:pt idx="14">
                  <c:v>32.4403258695091</c:v>
                </c:pt>
                <c:pt idx="15">
                  <c:v>21.5719697514031</c:v>
                </c:pt>
                <c:pt idx="16">
                  <c:v>10.5890182377378</c:v>
                </c:pt>
                <c:pt idx="17">
                  <c:v>0.53824267478069</c:v>
                </c:pt>
                <c:pt idx="18">
                  <c:v>11.8271451897392</c:v>
                </c:pt>
                <c:pt idx="19">
                  <c:v>23.2857699133207</c:v>
                </c:pt>
                <c:pt idx="20">
                  <c:v>34.9179739380825</c:v>
                </c:pt>
                <c:pt idx="21">
                  <c:v>46.7295321474504</c:v>
                </c:pt>
                <c:pt idx="22">
                  <c:v>58.733651198152</c:v>
                </c:pt>
                <c:pt idx="23">
                  <c:v>70.9536292823</c:v>
                </c:pt>
                <c:pt idx="24">
                  <c:v>83.4207933753577</c:v>
                </c:pt>
                <c:pt idx="25">
                  <c:v>96.1670918269279</c:v>
                </c:pt>
                <c:pt idx="26">
                  <c:v>109.213508901251</c:v>
                </c:pt>
                <c:pt idx="27">
                  <c:v>122.557176003034</c:v>
                </c:pt>
                <c:pt idx="28">
                  <c:v>136.161014665671</c:v>
                </c:pt>
                <c:pt idx="29">
                  <c:v>149.949514796754</c:v>
                </c:pt>
                <c:pt idx="30">
                  <c:v>163.812798112798</c:v>
                </c:pt>
                <c:pt idx="31">
                  <c:v>177.618859974253</c:v>
                </c:pt>
                <c:pt idx="32">
                  <c:v>168.768449279165</c:v>
                </c:pt>
                <c:pt idx="33">
                  <c:v>155.469776323862</c:v>
                </c:pt>
                <c:pt idx="34">
                  <c:v>142.573424008114</c:v>
                </c:pt>
                <c:pt idx="35">
                  <c:v>130.124858739405</c:v>
                </c:pt>
                <c:pt idx="36">
                  <c:v>118.124203483681</c:v>
                </c:pt>
                <c:pt idx="37">
                  <c:v>106.531159744754</c:v>
                </c:pt>
                <c:pt idx="38">
                  <c:v>95.2750538525532</c:v>
                </c:pt>
                <c:pt idx="39">
                  <c:v>84.2669189346109</c:v>
                </c:pt>
                <c:pt idx="40">
                  <c:v>73.4108258219761</c:v>
                </c:pt>
                <c:pt idx="41">
                  <c:v>62.6127736575621</c:v>
                </c:pt>
                <c:pt idx="42">
                  <c:v>51.78678926576</c:v>
                </c:pt>
                <c:pt idx="43">
                  <c:v>40.8588884021123</c:v>
                </c:pt>
                <c:pt idx="44">
                  <c:v>29.7698651175581</c:v>
                </c:pt>
                <c:pt idx="45">
                  <c:v>18.477493306312</c:v>
                </c:pt>
                <c:pt idx="46">
                  <c:v>6.95797230863522</c:v>
                </c:pt>
                <c:pt idx="47">
                  <c:v>4.79418454398333</c:v>
                </c:pt>
                <c:pt idx="48">
                  <c:v>16.7687142570714</c:v>
                </c:pt>
                <c:pt idx="49">
                  <c:v>28.9449250688484</c:v>
                </c:pt>
                <c:pt idx="50">
                  <c:v>41.2989996616016</c:v>
                </c:pt>
                <c:pt idx="51">
                  <c:v>53.81141535683</c:v>
                </c:pt>
                <c:pt idx="52">
                  <c:v>66.4720529585005</c:v>
                </c:pt>
                <c:pt idx="53">
                  <c:v>79.2808978465987</c:v>
                </c:pt>
                <c:pt idx="54">
                  <c:v>92.2434778467798</c:v>
                </c:pt>
                <c:pt idx="55">
                  <c:v>105.361958227601</c:v>
                </c:pt>
                <c:pt idx="56">
                  <c:v>118.624490630409</c:v>
                </c:pt>
                <c:pt idx="57">
                  <c:v>131.996338547873</c:v>
                </c:pt>
                <c:pt idx="58">
                  <c:v>145.416070297685</c:v>
                </c:pt>
                <c:pt idx="59">
                  <c:v>158.798731770265</c:v>
                </c:pt>
                <c:pt idx="60">
                  <c:v>172.045825289111</c:v>
                </c:pt>
                <c:pt idx="61">
                  <c:v>174.940160546319</c:v>
                </c:pt>
                <c:pt idx="62">
                  <c:v>162.24028447794</c:v>
                </c:pt>
                <c:pt idx="63">
                  <c:v>149.906547929069</c:v>
                </c:pt>
                <c:pt idx="64">
                  <c:v>137.954937343857</c:v>
                </c:pt>
                <c:pt idx="65">
                  <c:v>126.365098931573</c:v>
                </c:pt>
                <c:pt idx="66">
                  <c:v>115.085718194108</c:v>
                </c:pt>
                <c:pt idx="67">
                  <c:v>104.043322345185</c:v>
                </c:pt>
                <c:pt idx="68">
                  <c:v>93.1518415491819</c:v>
                </c:pt>
                <c:pt idx="69">
                  <c:v>82.3208637540854</c:v>
                </c:pt>
                <c:pt idx="70">
                  <c:v>71.4617231025073</c:v>
                </c:pt>
                <c:pt idx="71">
                  <c:v>60.4917898390639</c:v>
                </c:pt>
                <c:pt idx="72">
                  <c:v>49.3380408449295</c:v>
                </c:pt>
                <c:pt idx="73">
                  <c:v>37.9409146543632</c:v>
                </c:pt>
                <c:pt idx="74">
                  <c:v>26.2586977232388</c:v>
                </c:pt>
                <c:pt idx="75">
                  <c:v>14.2716713360258</c:v>
                </c:pt>
                <c:pt idx="76">
                  <c:v>1.98451578416896</c:v>
                </c:pt>
                <c:pt idx="77">
                  <c:v>10.5745571794666</c:v>
                </c:pt>
                <c:pt idx="78">
                  <c:v>23.3586843704062</c:v>
                </c:pt>
                <c:pt idx="79">
                  <c:v>36.3106493022416</c:v>
                </c:pt>
                <c:pt idx="80">
                  <c:v>49.3726592554121</c:v>
                </c:pt>
                <c:pt idx="81">
                  <c:v>62.494892552615</c:v>
                </c:pt>
                <c:pt idx="82">
                  <c:v>75.6402956576525</c:v>
                </c:pt>
                <c:pt idx="83">
                  <c:v>88.7842648425731</c:v>
                </c:pt>
                <c:pt idx="84">
                  <c:v>101.909583708723</c:v>
                </c:pt>
                <c:pt idx="85">
                  <c:v>114.998668636757</c:v>
                </c:pt>
                <c:pt idx="86">
                  <c:v>128.026159571928</c:v>
                </c:pt>
                <c:pt idx="87">
                  <c:v>140.954796617913</c:v>
                </c:pt>
                <c:pt idx="88">
                  <c:v>153.736367241155</c:v>
                </c:pt>
                <c:pt idx="89">
                  <c:v>166.317722912441</c:v>
                </c:pt>
                <c:pt idx="90">
                  <c:v>178.650113963955</c:v>
                </c:pt>
                <c:pt idx="91">
                  <c:v>169.300980324722</c:v>
                </c:pt>
                <c:pt idx="92">
                  <c:v>157.548375075548</c:v>
                </c:pt>
                <c:pt idx="93">
                  <c:v>146.079930258233</c:v>
                </c:pt>
                <c:pt idx="94">
                  <c:v>134.859856334865</c:v>
                </c:pt>
                <c:pt idx="95">
                  <c:v>123.833419461536</c:v>
                </c:pt>
                <c:pt idx="96">
                  <c:v>112.933042727738</c:v>
                </c:pt>
                <c:pt idx="97">
                  <c:v>102.083872195115</c:v>
                </c:pt>
                <c:pt idx="98">
                  <c:v>91.2077556853107</c:v>
                </c:pt>
                <c:pt idx="99">
                  <c:v>80.2258163725326</c:v>
                </c:pt>
                <c:pt idx="100">
                  <c:v>69.0608009065367</c:v>
                </c:pt>
                <c:pt idx="101">
                  <c:v>57.6406681697289</c:v>
                </c:pt>
                <c:pt idx="102">
                  <c:v>45.9043066769528</c:v>
                </c:pt>
                <c:pt idx="103">
                  <c:v>33.8090631807154</c:v>
                </c:pt>
                <c:pt idx="104">
                  <c:v>21.3384626485399</c:v>
                </c:pt>
                <c:pt idx="105">
                  <c:v>8.50770135095178</c:v>
                </c:pt>
                <c:pt idx="106">
                  <c:v>4.63538440749139</c:v>
                </c:pt>
                <c:pt idx="107">
                  <c:v>18.0150846477798</c:v>
                </c:pt>
                <c:pt idx="108">
                  <c:v>31.5378296098882</c:v>
                </c:pt>
                <c:pt idx="109">
                  <c:v>45.1052762817645</c:v>
                </c:pt>
                <c:pt idx="110">
                  <c:v>58.6272612466854</c:v>
                </c:pt>
                <c:pt idx="111">
                  <c:v>72.0314467861221</c:v>
                </c:pt>
                <c:pt idx="112">
                  <c:v>85.2675913485574</c:v>
                </c:pt>
                <c:pt idx="113">
                  <c:v>98.3061484961709</c:v>
                </c:pt>
                <c:pt idx="114">
                  <c:v>111.132687210796</c:v>
                </c:pt>
                <c:pt idx="115">
                  <c:v>123.74078376808</c:v>
                </c:pt>
                <c:pt idx="116">
                  <c:v>136.126172141563</c:v>
                </c:pt>
                <c:pt idx="117">
                  <c:v>148.28407099804</c:v>
                </c:pt>
                <c:pt idx="118">
                  <c:v>160.210131661062</c:v>
                </c:pt>
                <c:pt idx="119">
                  <c:v>171.903987177502</c:v>
                </c:pt>
                <c:pt idx="120">
                  <c:v>176.626499085607</c:v>
                </c:pt>
                <c:pt idx="121">
                  <c:v>165.362185121053</c:v>
                </c:pt>
                <c:pt idx="122">
                  <c:v>154.271900903802</c:v>
                </c:pt>
                <c:pt idx="123">
                  <c:v>143.313915182499</c:v>
                </c:pt>
                <c:pt idx="124">
                  <c:v>132.438538141676</c:v>
                </c:pt>
                <c:pt idx="125">
                  <c:v>121.590426979556</c:v>
                </c:pt>
                <c:pt idx="126">
                  <c:v>110.70960980106</c:v>
                </c:pt>
                <c:pt idx="127">
                  <c:v>99.7312746086881</c:v>
                </c:pt>
                <c:pt idx="128">
                  <c:v>88.5854853333819</c:v>
                </c:pt>
                <c:pt idx="129">
                  <c:v>77.1986219433447</c:v>
                </c:pt>
                <c:pt idx="130">
                  <c:v>65.4981179395252</c:v>
                </c:pt>
                <c:pt idx="131">
                  <c:v>53.4209693024243</c:v>
                </c:pt>
                <c:pt idx="132">
                  <c:v>40.9248872851588</c:v>
                </c:pt>
                <c:pt idx="133">
                  <c:v>27.9994893808066</c:v>
                </c:pt>
                <c:pt idx="134">
                  <c:v>14.674198980527</c:v>
                </c:pt>
                <c:pt idx="135">
                  <c:v>1.01993024906869</c:v>
                </c:pt>
                <c:pt idx="136">
                  <c:v>12.8568735362908</c:v>
                </c:pt>
                <c:pt idx="137">
                  <c:v>26.8271667328186</c:v>
                </c:pt>
                <c:pt idx="138">
                  <c:v>40.7564945060413</c:v>
                </c:pt>
                <c:pt idx="139">
                  <c:v>54.5225337298897</c:v>
                </c:pt>
                <c:pt idx="140">
                  <c:v>68.029059080485</c:v>
                </c:pt>
                <c:pt idx="141">
                  <c:v>81.2136041649474</c:v>
                </c:pt>
                <c:pt idx="142">
                  <c:v>94.0480305855585</c:v>
                </c:pt>
                <c:pt idx="143">
                  <c:v>106.533217568699</c:v>
                </c:pt>
                <c:pt idx="144">
                  <c:v>118.690467023282</c:v>
                </c:pt>
                <c:pt idx="145">
                  <c:v>130.552581316677</c:v>
                </c:pt>
                <c:pt idx="146">
                  <c:v>142.15691947814</c:v>
                </c:pt>
                <c:pt idx="147">
                  <c:v>153.541455674842</c:v>
                </c:pt>
                <c:pt idx="148">
                  <c:v>164.743534234418</c:v>
                </c:pt>
                <c:pt idx="149">
                  <c:v>175.800169651809</c:v>
                </c:pt>
                <c:pt idx="150">
                  <c:v>173.251357573463</c:v>
                </c:pt>
                <c:pt idx="151">
                  <c:v>162.373303124435</c:v>
                </c:pt>
                <c:pt idx="152">
                  <c:v>151.527534516392</c:v>
                </c:pt>
                <c:pt idx="153">
                  <c:v>140.675166152203</c:v>
                </c:pt>
                <c:pt idx="154">
                  <c:v>129.775039752811</c:v>
                </c:pt>
                <c:pt idx="155">
                  <c:v>118.780981829926</c:v>
                </c:pt>
                <c:pt idx="156">
                  <c:v>107.63877681029</c:v>
                </c:pt>
                <c:pt idx="157">
                  <c:v>96.2846561001321</c:v>
                </c:pt>
                <c:pt idx="158">
                  <c:v>84.6473156112199</c:v>
                </c:pt>
                <c:pt idx="159">
                  <c:v>72.6547704512348</c:v>
                </c:pt>
                <c:pt idx="160">
                  <c:v>60.2458507762414</c:v>
                </c:pt>
                <c:pt idx="161">
                  <c:v>47.3843214139853</c:v>
                </c:pt>
                <c:pt idx="162">
                  <c:v>34.0721519848306</c:v>
                </c:pt>
                <c:pt idx="163">
                  <c:v>20.3579894863951</c:v>
                </c:pt>
                <c:pt idx="164">
                  <c:v>6.3376881249298</c:v>
                </c:pt>
                <c:pt idx="165">
                  <c:v>7.8543282847719</c:v>
                </c:pt>
                <c:pt idx="166">
                  <c:v>22.0616367989238</c:v>
                </c:pt>
                <c:pt idx="167">
                  <c:v>36.1268831968554</c:v>
                </c:pt>
                <c:pt idx="168">
                  <c:v>49.9126947103636</c:v>
                </c:pt>
                <c:pt idx="169">
                  <c:v>63.3179411818059</c:v>
                </c:pt>
                <c:pt idx="170">
                  <c:v>76.2862911182943</c:v>
                </c:pt>
                <c:pt idx="171">
                  <c:v>88.8062184544364</c:v>
                </c:pt>
                <c:pt idx="172">
                  <c:v>100.903839198067</c:v>
                </c:pt>
                <c:pt idx="173">
                  <c:v>112.631492402594</c:v>
                </c:pt>
                <c:pt idx="174">
                  <c:v>124.055426213796</c:v>
                </c:pt>
                <c:pt idx="175">
                  <c:v>135.24533066274</c:v>
                </c:pt>
                <c:pt idx="176">
                  <c:v>146.267175092175</c:v>
                </c:pt>
                <c:pt idx="177">
                  <c:v>157.179446064844</c:v>
                </c:pt>
                <c:pt idx="178">
                  <c:v>168.031962174843</c:v>
                </c:pt>
                <c:pt idx="179">
                  <c:v>178.866214812904</c:v>
                </c:pt>
                <c:pt idx="180">
                  <c:v>170.283450419877</c:v>
                </c:pt>
                <c:pt idx="181">
                  <c:v>159.387907150899</c:v>
                </c:pt>
                <c:pt idx="182">
                  <c:v>148.420301907151</c:v>
                </c:pt>
                <c:pt idx="183">
                  <c:v>137.351959358361</c:v>
                </c:pt>
                <c:pt idx="184">
                  <c:v>126.147670686377</c:v>
                </c:pt>
                <c:pt idx="185">
                  <c:v>114.761759741602</c:v>
                </c:pt>
                <c:pt idx="186">
                  <c:v>103.13690202264</c:v>
                </c:pt>
                <c:pt idx="187">
                  <c:v>91.2075342295541</c:v>
                </c:pt>
                <c:pt idx="188">
                  <c:v>78.9086702739597</c:v>
                </c:pt>
                <c:pt idx="189">
                  <c:v>66.1892471365739</c:v>
                </c:pt>
                <c:pt idx="190">
                  <c:v>53.0273091268248</c:v>
                </c:pt>
                <c:pt idx="191">
                  <c:v>39.4430896764071</c:v>
                </c:pt>
                <c:pt idx="192">
                  <c:v>25.5059240027385</c:v>
                </c:pt>
                <c:pt idx="193">
                  <c:v>11.3321172099649</c:v>
                </c:pt>
                <c:pt idx="194">
                  <c:v>2.92687459525672</c:v>
                </c:pt>
                <c:pt idx="195">
                  <c:v>17.1039869364931</c:v>
                </c:pt>
                <c:pt idx="196">
                  <c:v>31.039705015758</c:v>
                </c:pt>
                <c:pt idx="197">
                  <c:v>44.6037428816379</c:v>
                </c:pt>
                <c:pt idx="198">
                  <c:v>57.7106334597451</c:v>
                </c:pt>
                <c:pt idx="199">
                  <c:v>70.3263866519605</c:v>
                </c:pt>
                <c:pt idx="200">
                  <c:v>82.465814837455</c:v>
                </c:pt>
                <c:pt idx="201">
                  <c:v>94.1824403612253</c:v>
                </c:pt>
                <c:pt idx="202">
                  <c:v>105.554386741188</c:v>
                </c:pt>
                <c:pt idx="203">
                  <c:v>116.669956315326</c:v>
                </c:pt>
                <c:pt idx="204">
                  <c:v>127.615798358316</c:v>
                </c:pt>
                <c:pt idx="205">
                  <c:v>138.469131004523</c:v>
                </c:pt>
                <c:pt idx="206">
                  <c:v>149.294015871726</c:v>
                </c:pt>
                <c:pt idx="207">
                  <c:v>160.140717813474</c:v>
                </c:pt>
                <c:pt idx="208">
                  <c:v>171.046941692969</c:v>
                </c:pt>
                <c:pt idx="209">
                  <c:v>177.959902006448</c:v>
                </c:pt>
                <c:pt idx="210">
                  <c:v>166.859673526518</c:v>
                </c:pt>
                <c:pt idx="211">
                  <c:v>155.635635175191</c:v>
                </c:pt>
                <c:pt idx="212">
                  <c:v>144.269785490406</c:v>
                </c:pt>
                <c:pt idx="213">
                  <c:v>132.738044064085</c:v>
                </c:pt>
                <c:pt idx="214">
                  <c:v>121.006679408225</c:v>
                </c:pt>
                <c:pt idx="215">
                  <c:v>109.031794823541</c:v>
                </c:pt>
                <c:pt idx="216">
                  <c:v>96.7633999754006</c:v>
                </c:pt>
                <c:pt idx="217">
                  <c:v>84.1544920658522</c:v>
                </c:pt>
                <c:pt idx="218">
                  <c:v>71.1739133591006</c:v>
                </c:pt>
                <c:pt idx="219">
                  <c:v>57.8201045005676</c:v>
                </c:pt>
                <c:pt idx="220">
                  <c:v>44.1318910357014</c:v>
                </c:pt>
                <c:pt idx="221">
                  <c:v>30.1926074485232</c:v>
                </c:pt>
                <c:pt idx="222">
                  <c:v>16.1252777722862</c:v>
                </c:pt>
                <c:pt idx="223">
                  <c:v>2.07887700959043</c:v>
                </c:pt>
                <c:pt idx="224">
                  <c:v>11.7918148909293</c:v>
                </c:pt>
                <c:pt idx="225">
                  <c:v>25.3483969361142</c:v>
                </c:pt>
                <c:pt idx="226">
                  <c:v>38.4880920292943</c:v>
                </c:pt>
                <c:pt idx="227">
                  <c:v>51.1559199649295</c:v>
                </c:pt>
                <c:pt idx="228">
                  <c:v>63.3476671283776</c:v>
                </c:pt>
                <c:pt idx="229">
                  <c:v>75.1040042776289</c:v>
                </c:pt>
                <c:pt idx="230">
                  <c:v>86.4982589085241</c:v>
                </c:pt>
                <c:pt idx="231">
                  <c:v>97.6215294676827</c:v>
                </c:pt>
                <c:pt idx="232">
                  <c:v>108.568773066556</c:v>
                </c:pt>
                <c:pt idx="233">
                  <c:v>119.428397275512</c:v>
                </c:pt>
                <c:pt idx="234">
                  <c:v>130.276276632854</c:v>
                </c:pt>
                <c:pt idx="235">
                  <c:v>141.173644655339</c:v>
                </c:pt>
                <c:pt idx="236">
                  <c:v>152.167482446028</c:v>
                </c:pt>
                <c:pt idx="237">
                  <c:v>163.292003476796</c:v>
                </c:pt>
                <c:pt idx="238">
                  <c:v>174.570422528514</c:v>
                </c:pt>
                <c:pt idx="239">
                  <c:v>173.983047487744</c:v>
                </c:pt>
                <c:pt idx="240">
                  <c:v>162.360570910841</c:v>
                </c:pt>
                <c:pt idx="241">
                  <c:v>150.557151063989</c:v>
                </c:pt>
                <c:pt idx="242">
                  <c:v>138.566526521388</c:v>
                </c:pt>
                <c:pt idx="243">
                  <c:v>126.377657052521</c:v>
                </c:pt>
                <c:pt idx="244">
                  <c:v>113.973452981454</c:v>
                </c:pt>
                <c:pt idx="245">
                  <c:v>101.333205765949</c:v>
                </c:pt>
                <c:pt idx="246">
                  <c:v>88.4391918712492</c:v>
                </c:pt>
                <c:pt idx="247">
                  <c:v>75.2864162927231</c:v>
                </c:pt>
                <c:pt idx="248">
                  <c:v>61.892986679269</c:v>
                </c:pt>
                <c:pt idx="249">
                  <c:v>48.3077813585931</c:v>
                </c:pt>
                <c:pt idx="250">
                  <c:v>34.612322683217</c:v>
                </c:pt>
                <c:pt idx="251">
                  <c:v>20.9151363671182</c:v>
                </c:pt>
                <c:pt idx="252">
                  <c:v>7.33898376009239</c:v>
                </c:pt>
                <c:pt idx="253">
                  <c:v>5.99649178179783</c:v>
                </c:pt>
                <c:pt idx="254">
                  <c:v>18.9927042900994</c:v>
                </c:pt>
                <c:pt idx="255">
                  <c:v>31.5864035405895</c:v>
                </c:pt>
                <c:pt idx="256">
                  <c:v>43.7571036602319</c:v>
                </c:pt>
                <c:pt idx="257">
                  <c:v>55.5264663364796</c:v>
                </c:pt>
                <c:pt idx="258">
                  <c:v>66.9506782690225</c:v>
                </c:pt>
                <c:pt idx="259">
                  <c:v>78.1085858275642</c:v>
                </c:pt>
                <c:pt idx="260">
                  <c:v>89.0890263653812</c:v>
                </c:pt>
                <c:pt idx="261">
                  <c:v>99.9802997612409</c:v>
                </c:pt>
                <c:pt idx="262">
                  <c:v>110.863365846899</c:v>
                </c:pt>
                <c:pt idx="263">
                  <c:v>121.808736044441</c:v>
                </c:pt>
                <c:pt idx="264">
                  <c:v>132.875793641017</c:v>
                </c:pt>
                <c:pt idx="265">
                  <c:v>144.112853176238</c:v>
                </c:pt>
                <c:pt idx="266">
                  <c:v>155.556708035267</c:v>
                </c:pt>
                <c:pt idx="267">
                  <c:v>167.23139787956</c:v>
                </c:pt>
                <c:pt idx="268">
                  <c:v>179.146920934051</c:v>
                </c:pt>
                <c:pt idx="269">
                  <c:v>168.700885389234</c:v>
                </c:pt>
                <c:pt idx="270">
                  <c:v>156.328323839433</c:v>
                </c:pt>
                <c:pt idx="271">
                  <c:v>143.759601531458</c:v>
                </c:pt>
                <c:pt idx="272">
                  <c:v>131.021427223902</c:v>
                </c:pt>
                <c:pt idx="273">
                  <c:v>118.138294798058</c:v>
                </c:pt>
                <c:pt idx="274">
                  <c:v>105.130363370894</c:v>
                </c:pt>
                <c:pt idx="275">
                  <c:v>92.0150378990249</c:v>
                </c:pt>
                <c:pt idx="276">
                  <c:v>78.8119459704219</c:v>
                </c:pt>
                <c:pt idx="277">
                  <c:v>65.5495418385882</c:v>
                </c:pt>
                <c:pt idx="278">
                  <c:v>52.2706558939983</c:v>
                </c:pt>
                <c:pt idx="279">
                  <c:v>39.0343647273858</c:v>
                </c:pt>
                <c:pt idx="280">
                  <c:v>25.9126298425617</c:v>
                </c:pt>
                <c:pt idx="281">
                  <c:v>12.9818832612942</c:v>
                </c:pt>
                <c:pt idx="282">
                  <c:v>0.311494573247899</c:v>
                </c:pt>
                <c:pt idx="283">
                  <c:v>12.0478214097271</c:v>
                </c:pt>
                <c:pt idx="284">
                  <c:v>24.072528365439</c:v>
                </c:pt>
                <c:pt idx="285">
                  <c:v>35.7696033646043</c:v>
                </c:pt>
                <c:pt idx="286">
                  <c:v>47.1742565320626</c:v>
                </c:pt>
                <c:pt idx="287">
                  <c:v>58.3433418997305</c:v>
                </c:pt>
                <c:pt idx="288">
                  <c:v>69.3468928927044</c:v>
                </c:pt>
                <c:pt idx="289">
                  <c:v>80.2603489105722</c:v>
                </c:pt>
                <c:pt idx="290">
                  <c:v>91.159196488646</c:v>
                </c:pt>
                <c:pt idx="291">
                  <c:v>102.116337120307</c:v>
                </c:pt>
                <c:pt idx="292">
                  <c:v>113.201136751899</c:v>
                </c:pt>
                <c:pt idx="293">
                  <c:v>124.47838723155</c:v>
                </c:pt>
                <c:pt idx="294">
                  <c:v>136.005612406732</c:v>
                </c:pt>
                <c:pt idx="295">
                  <c:v>147.828173522321</c:v>
                </c:pt>
                <c:pt idx="296">
                  <c:v>159.973008528932</c:v>
                </c:pt>
                <c:pt idx="297">
                  <c:v>172.442957760173</c:v>
                </c:pt>
                <c:pt idx="298">
                  <c:v>174.786033310319</c:v>
                </c:pt>
                <c:pt idx="299">
                  <c:v>161.763180857925</c:v>
                </c:pt>
                <c:pt idx="300">
                  <c:v>148.556347006369</c:v>
                </c:pt>
                <c:pt idx="301">
                  <c:v>135.242118171719</c:v>
                </c:pt>
                <c:pt idx="302">
                  <c:v>121.895065035154</c:v>
                </c:pt>
                <c:pt idx="303">
                  <c:v>108.579075290816</c:v>
                </c:pt>
                <c:pt idx="304">
                  <c:v>95.3429117553671</c:v>
                </c:pt>
                <c:pt idx="305">
                  <c:v>82.2206445067448</c:v>
                </c:pt>
                <c:pt idx="306">
                  <c:v>69.2359134938678</c:v>
                </c:pt>
                <c:pt idx="307">
                  <c:v>56.4077423871904</c:v>
                </c:pt>
                <c:pt idx="308">
                  <c:v>43.7552996496393</c:v>
                </c:pt>
                <c:pt idx="309">
                  <c:v>31.2996740565929</c:v>
                </c:pt>
                <c:pt idx="310">
                  <c:v>19.062088630979</c:v>
                </c:pt>
                <c:pt idx="311">
                  <c:v>7.05944779990091</c:v>
                </c:pt>
                <c:pt idx="312">
                  <c:v>4.7008954741531</c:v>
                </c:pt>
                <c:pt idx="313">
                  <c:v>16.2251236157343</c:v>
                </c:pt>
                <c:pt idx="314">
                  <c:v>27.5343692433159</c:v>
                </c:pt>
                <c:pt idx="315">
                  <c:v>38.6634415735774</c:v>
                </c:pt>
                <c:pt idx="316">
                  <c:v>49.6578797398895</c:v>
                </c:pt>
                <c:pt idx="317">
                  <c:v>60.5709026947522</c:v>
                </c:pt>
                <c:pt idx="318">
                  <c:v>71.4615536056794</c:v>
                </c:pt>
                <c:pt idx="319">
                  <c:v>82.3943698206883</c:v>
                </c:pt>
                <c:pt idx="320">
                  <c:v>93.4397025693389</c:v>
                </c:pt>
                <c:pt idx="321">
                  <c:v>104.672948715108</c:v>
                </c:pt>
                <c:pt idx="322">
                  <c:v>116.170901027175</c:v>
                </c:pt>
                <c:pt idx="323">
                  <c:v>128.004302175832</c:v>
                </c:pt>
                <c:pt idx="324">
                  <c:v>140.227224100874</c:v>
                </c:pt>
                <c:pt idx="325">
                  <c:v>152.865502050665</c:v>
                </c:pt>
                <c:pt idx="326">
                  <c:v>165.9074643025</c:v>
                </c:pt>
                <c:pt idx="327">
                  <c:v>179.300137340992</c:v>
                </c:pt>
                <c:pt idx="328">
                  <c:v>167.047112384744</c:v>
                </c:pt>
                <c:pt idx="329">
                  <c:v>153.25155664517</c:v>
                </c:pt>
                <c:pt idx="330">
                  <c:v>139.440900096452</c:v>
                </c:pt>
                <c:pt idx="331">
                  <c:v>125.735607836395</c:v>
                </c:pt>
                <c:pt idx="332">
                  <c:v>112.233854165699</c:v>
                </c:pt>
                <c:pt idx="333">
                  <c:v>99.0022899990608</c:v>
                </c:pt>
                <c:pt idx="334">
                  <c:v>86.0740090337746</c:v>
                </c:pt>
                <c:pt idx="335">
                  <c:v>73.4530010376277</c:v>
                </c:pt>
                <c:pt idx="336">
                  <c:v>61.1227290917942</c:v>
                </c:pt>
                <c:pt idx="337">
                  <c:v>49.0557645434815</c:v>
                </c:pt>
                <c:pt idx="338">
                  <c:v>37.2217822204969</c:v>
                </c:pt>
                <c:pt idx="339">
                  <c:v>25.5923777872753</c:v>
                </c:pt>
                <c:pt idx="340">
                  <c:v>14.1425735452401</c:v>
                </c:pt>
                <c:pt idx="341">
                  <c:v>2.84995742050972</c:v>
                </c:pt>
                <c:pt idx="342">
                  <c:v>8.30720955603374</c:v>
                </c:pt>
                <c:pt idx="343">
                  <c:v>19.351897884852</c:v>
                </c:pt>
                <c:pt idx="344">
                  <c:v>30.3099241539214</c:v>
                </c:pt>
                <c:pt idx="345">
                  <c:v>41.2116229483171</c:v>
                </c:pt>
                <c:pt idx="346">
                  <c:v>52.0941014262015</c:v>
                </c:pt>
                <c:pt idx="347">
                  <c:v>63.0041640190347</c:v>
                </c:pt>
                <c:pt idx="348">
                  <c:v>74.0011335752875</c:v>
                </c:pt>
                <c:pt idx="349">
                  <c:v>85.1579615529921</c:v>
                </c:pt>
                <c:pt idx="350">
                  <c:v>96.5587213181281</c:v>
                </c:pt>
                <c:pt idx="351">
                  <c:v>108.291141168364</c:v>
                </c:pt>
                <c:pt idx="352">
                  <c:v>120.434228733182</c:v>
                </c:pt>
                <c:pt idx="353">
                  <c:v>133.04285439877</c:v>
                </c:pt>
                <c:pt idx="354">
                  <c:v>146.13273958168</c:v>
                </c:pt>
                <c:pt idx="355">
                  <c:v>159.669980391729</c:v>
                </c:pt>
                <c:pt idx="356">
                  <c:v>173.568642537817</c:v>
                </c:pt>
                <c:pt idx="357">
                  <c:v>172.301852896683</c:v>
                </c:pt>
                <c:pt idx="358">
                  <c:v>158.100361665991</c:v>
                </c:pt>
                <c:pt idx="359">
                  <c:v>143.991923037901</c:v>
                </c:pt>
                <c:pt idx="360">
                  <c:v>130.124768653647</c:v>
                </c:pt>
                <c:pt idx="361">
                  <c:v>116.611446202998</c:v>
                </c:pt>
                <c:pt idx="362">
                  <c:v>103.517828159217</c:v>
                </c:pt>
                <c:pt idx="363">
                  <c:v>90.8615428989434</c:v>
                </c:pt>
                <c:pt idx="364">
                  <c:v>78.6188889000572</c:v>
                </c:pt>
                <c:pt idx="365">
                  <c:v>66.7373522994346</c:v>
                </c:pt>
              </c:numCache>
            </c:numRef>
          </c:yVal>
          <c:smooth val="0"/>
        </c:ser>
        <c:axId val="30140278"/>
        <c:axId val="98000776"/>
      </c:scatterChart>
      <c:valAx>
        <c:axId val="30140278"/>
        <c:scaling>
          <c:orientation val="minMax"/>
          <c:max val="366"/>
          <c:min val="1"/>
        </c:scaling>
        <c:delete val="0"/>
        <c:axPos val="b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000000"/>
                    </a:solidFill>
                    <a:latin typeface="Calibri"/>
                  </a:rPr>
                  <a:t>day</a:t>
                </a:r>
              </a:p>
            </c:rich>
          </c:tx>
          <c:layout>
            <c:manualLayout>
              <c:xMode val="edge"/>
              <c:yMode val="edge"/>
              <c:x val="0.865624330691797"/>
              <c:y val="0.761024618452335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1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8000776"/>
        <c:crosses val="autoZero"/>
        <c:crossBetween val="midCat"/>
        <c:majorUnit val="30"/>
      </c:valAx>
      <c:valAx>
        <c:axId val="98000776"/>
        <c:scaling>
          <c:orientation val="minMax"/>
          <c:max val="180"/>
          <c:min val="-60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100" spc="-1" strike="noStrike">
                    <a:solidFill>
                      <a:srgbClr val="ff0000"/>
                    </a:solidFill>
                    <a:latin typeface="Calibri"/>
                  </a:defRPr>
                </a:pPr>
                <a:r>
                  <a:rPr b="1" sz="1100" spc="-1" strike="noStrike">
                    <a:solidFill>
                      <a:srgbClr val="ff0000"/>
                    </a:solidFill>
                    <a:latin typeface="Calibri"/>
                  </a:rPr>
                  <a:t>||∆L|-180°|</a:t>
                </a:r>
              </a:p>
            </c:rich>
          </c:tx>
          <c:layout>
            <c:manualLayout>
              <c:xMode val="edge"/>
              <c:yMode val="edge"/>
              <c:x val="0.0710644677661169"/>
              <c:y val="-0.15330930286064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0140278"/>
        <c:crosses val="autoZero"/>
        <c:crossBetween val="midCat"/>
        <c:majorUnit val="30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68.xml"/><Relationship Id="rId2" Type="http://schemas.openxmlformats.org/officeDocument/2006/relationships/chart" Target="../charts/chart69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70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1.xml"/><Relationship Id="rId2" Type="http://schemas.openxmlformats.org/officeDocument/2006/relationships/chart" Target="../charts/chart72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73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74.xml"/><Relationship Id="rId2" Type="http://schemas.openxmlformats.org/officeDocument/2006/relationships/chart" Target="../charts/chart75.xml"/><Relationship Id="rId3" Type="http://schemas.openxmlformats.org/officeDocument/2006/relationships/chart" Target="../charts/chart76.xml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chart" Target="../charts/chart77.xml"/><Relationship Id="rId2" Type="http://schemas.openxmlformats.org/officeDocument/2006/relationships/chart" Target="../charts/chart78.xml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chart" Target="../charts/chart79.xml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chart" Target="../charts/chart8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655200</xdr:colOff>
      <xdr:row>5</xdr:row>
      <xdr:rowOff>104760</xdr:rowOff>
    </xdr:from>
    <xdr:to>
      <xdr:col>10</xdr:col>
      <xdr:colOff>631080</xdr:colOff>
      <xdr:row>22</xdr:row>
      <xdr:rowOff>115200</xdr:rowOff>
    </xdr:to>
    <xdr:graphicFrame>
      <xdr:nvGraphicFramePr>
        <xdr:cNvPr id="0" name=""/>
        <xdr:cNvGraphicFramePr/>
      </xdr:nvGraphicFramePr>
      <xdr:xfrm>
        <a:off x="3419280" y="1057320"/>
        <a:ext cx="5767200" cy="3249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456480</xdr:colOff>
      <xdr:row>25</xdr:row>
      <xdr:rowOff>0</xdr:rowOff>
    </xdr:from>
    <xdr:to>
      <xdr:col>10</xdr:col>
      <xdr:colOff>664560</xdr:colOff>
      <xdr:row>44</xdr:row>
      <xdr:rowOff>63360</xdr:rowOff>
    </xdr:to>
    <xdr:graphicFrame>
      <xdr:nvGraphicFramePr>
        <xdr:cNvPr id="1" name="Diagramm 3"/>
        <xdr:cNvGraphicFramePr/>
      </xdr:nvGraphicFramePr>
      <xdr:xfrm>
        <a:off x="3220560" y="4762440"/>
        <a:ext cx="5999400" cy="368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47</xdr:col>
      <xdr:colOff>766800</xdr:colOff>
      <xdr:row>370</xdr:row>
      <xdr:rowOff>42120</xdr:rowOff>
    </xdr:from>
    <xdr:to>
      <xdr:col>55</xdr:col>
      <xdr:colOff>227880</xdr:colOff>
      <xdr:row>387</xdr:row>
      <xdr:rowOff>52560</xdr:rowOff>
    </xdr:to>
    <xdr:graphicFrame>
      <xdr:nvGraphicFramePr>
        <xdr:cNvPr id="2" name=""/>
        <xdr:cNvGraphicFramePr/>
      </xdr:nvGraphicFramePr>
      <xdr:xfrm>
        <a:off x="31266000" y="70527240"/>
        <a:ext cx="5767200" cy="3249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76680</xdr:colOff>
      <xdr:row>1</xdr:row>
      <xdr:rowOff>162000</xdr:rowOff>
    </xdr:from>
    <xdr:to>
      <xdr:col>16</xdr:col>
      <xdr:colOff>50040</xdr:colOff>
      <xdr:row>20</xdr:row>
      <xdr:rowOff>81000</xdr:rowOff>
    </xdr:to>
    <xdr:graphicFrame>
      <xdr:nvGraphicFramePr>
        <xdr:cNvPr id="3" name="Diagramm 1"/>
        <xdr:cNvGraphicFramePr/>
      </xdr:nvGraphicFramePr>
      <xdr:xfrm>
        <a:off x="6591960" y="378000"/>
        <a:ext cx="6450120" cy="4020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208080</xdr:colOff>
      <xdr:row>21</xdr:row>
      <xdr:rowOff>120960</xdr:rowOff>
    </xdr:from>
    <xdr:to>
      <xdr:col>17</xdr:col>
      <xdr:colOff>236880</xdr:colOff>
      <xdr:row>39</xdr:row>
      <xdr:rowOff>134640</xdr:rowOff>
    </xdr:to>
    <xdr:graphicFrame>
      <xdr:nvGraphicFramePr>
        <xdr:cNvPr id="4" name="Diagramm 2"/>
        <xdr:cNvGraphicFramePr/>
      </xdr:nvGraphicFramePr>
      <xdr:xfrm>
        <a:off x="6723360" y="4654800"/>
        <a:ext cx="7315200" cy="3899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88560</xdr:colOff>
      <xdr:row>1</xdr:row>
      <xdr:rowOff>360</xdr:rowOff>
    </xdr:from>
    <xdr:to>
      <xdr:col>15</xdr:col>
      <xdr:colOff>704160</xdr:colOff>
      <xdr:row>20</xdr:row>
      <xdr:rowOff>216000</xdr:rowOff>
    </xdr:to>
    <xdr:graphicFrame>
      <xdr:nvGraphicFramePr>
        <xdr:cNvPr id="5" name="Diagramm 1"/>
        <xdr:cNvGraphicFramePr/>
      </xdr:nvGraphicFramePr>
      <xdr:xfrm>
        <a:off x="5689440" y="216360"/>
        <a:ext cx="7092360" cy="4317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781920</xdr:colOff>
      <xdr:row>1</xdr:row>
      <xdr:rowOff>55800</xdr:rowOff>
    </xdr:from>
    <xdr:to>
      <xdr:col>18</xdr:col>
      <xdr:colOff>79560</xdr:colOff>
      <xdr:row>24</xdr:row>
      <xdr:rowOff>69840</xdr:rowOff>
    </xdr:to>
    <xdr:graphicFrame>
      <xdr:nvGraphicFramePr>
        <xdr:cNvPr id="6" name="Diagramm 1"/>
        <xdr:cNvGraphicFramePr/>
      </xdr:nvGraphicFramePr>
      <xdr:xfrm>
        <a:off x="6935040" y="271800"/>
        <a:ext cx="7394040" cy="4979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28800</xdr:colOff>
      <xdr:row>25</xdr:row>
      <xdr:rowOff>204840</xdr:rowOff>
    </xdr:from>
    <xdr:to>
      <xdr:col>17</xdr:col>
      <xdr:colOff>696240</xdr:colOff>
      <xdr:row>48</xdr:row>
      <xdr:rowOff>15840</xdr:rowOff>
    </xdr:to>
    <xdr:graphicFrame>
      <xdr:nvGraphicFramePr>
        <xdr:cNvPr id="7" name="Diagramm 2"/>
        <xdr:cNvGraphicFramePr/>
      </xdr:nvGraphicFramePr>
      <xdr:xfrm>
        <a:off x="6991560" y="5602320"/>
        <a:ext cx="7144560" cy="4776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333360</xdr:colOff>
      <xdr:row>50</xdr:row>
      <xdr:rowOff>164520</xdr:rowOff>
    </xdr:from>
    <xdr:to>
      <xdr:col>18</xdr:col>
      <xdr:colOff>62280</xdr:colOff>
      <xdr:row>65</xdr:row>
      <xdr:rowOff>174600</xdr:rowOff>
    </xdr:to>
    <xdr:graphicFrame>
      <xdr:nvGraphicFramePr>
        <xdr:cNvPr id="8" name=""/>
        <xdr:cNvGraphicFramePr/>
      </xdr:nvGraphicFramePr>
      <xdr:xfrm>
        <a:off x="7296120" y="10959480"/>
        <a:ext cx="7015680" cy="3248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362880</xdr:colOff>
      <xdr:row>1</xdr:row>
      <xdr:rowOff>174600</xdr:rowOff>
    </xdr:from>
    <xdr:to>
      <xdr:col>18</xdr:col>
      <xdr:colOff>289800</xdr:colOff>
      <xdr:row>21</xdr:row>
      <xdr:rowOff>39600</xdr:rowOff>
    </xdr:to>
    <xdr:graphicFrame>
      <xdr:nvGraphicFramePr>
        <xdr:cNvPr id="9" name="Diagramm 1"/>
        <xdr:cNvGraphicFramePr/>
      </xdr:nvGraphicFramePr>
      <xdr:xfrm>
        <a:off x="5668200" y="399960"/>
        <a:ext cx="8080560" cy="4373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166680</xdr:colOff>
      <xdr:row>21</xdr:row>
      <xdr:rowOff>119520</xdr:rowOff>
    </xdr:from>
    <xdr:to>
      <xdr:col>18</xdr:col>
      <xdr:colOff>525960</xdr:colOff>
      <xdr:row>41</xdr:row>
      <xdr:rowOff>212040</xdr:rowOff>
    </xdr:to>
    <xdr:graphicFrame>
      <xdr:nvGraphicFramePr>
        <xdr:cNvPr id="10" name="Diagramm 2"/>
        <xdr:cNvGraphicFramePr/>
      </xdr:nvGraphicFramePr>
      <xdr:xfrm>
        <a:off x="6195960" y="4853520"/>
        <a:ext cx="7788960" cy="4600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1656360</xdr:colOff>
      <xdr:row>8</xdr:row>
      <xdr:rowOff>189000</xdr:rowOff>
    </xdr:from>
    <xdr:to>
      <xdr:col>25</xdr:col>
      <xdr:colOff>549360</xdr:colOff>
      <xdr:row>34</xdr:row>
      <xdr:rowOff>40320</xdr:rowOff>
    </xdr:to>
    <xdr:graphicFrame>
      <xdr:nvGraphicFramePr>
        <xdr:cNvPr id="11" name="Diagramm 1"/>
        <xdr:cNvGraphicFramePr/>
      </xdr:nvGraphicFramePr>
      <xdr:xfrm>
        <a:off x="11552760" y="1916280"/>
        <a:ext cx="9542160" cy="5464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243000</xdr:colOff>
      <xdr:row>2</xdr:row>
      <xdr:rowOff>15840</xdr:rowOff>
    </xdr:from>
    <xdr:to>
      <xdr:col>23</xdr:col>
      <xdr:colOff>551160</xdr:colOff>
      <xdr:row>22</xdr:row>
      <xdr:rowOff>201240</xdr:rowOff>
    </xdr:to>
    <xdr:graphicFrame>
      <xdr:nvGraphicFramePr>
        <xdr:cNvPr id="12" name="Diagramm 1"/>
        <xdr:cNvGraphicFramePr/>
      </xdr:nvGraphicFramePr>
      <xdr:xfrm>
        <a:off x="10873080" y="466560"/>
        <a:ext cx="8404200" cy="4694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date" displayName="date" ref="D2:D367" headerRowCount="1" totalsRowCount="0" totalsRowShown="0">
  <tableColumns count="1">
    <tableColumn id="1" name="Spalte1"/>
  </tableColumns>
</table>
</file>

<file path=xl/tables/table2.xml><?xml version="1.0" encoding="utf-8"?>
<table xmlns="http://schemas.openxmlformats.org/spreadsheetml/2006/main" id="2" name="geo" displayName="geo" ref="AU2:AU367" headerRowCount="1" totalsRowCount="0" totalsRowShown="0">
  <tableColumns count="1">
    <tableColumn id="1" name="Spalte1"/>
  </tableColumns>
</table>
</file>

<file path=xl/tables/table3.xml><?xml version="1.0" encoding="utf-8"?>
<table xmlns="http://schemas.openxmlformats.org/spreadsheetml/2006/main" id="3" name="month" displayName="month" ref="E2:E367" headerRowCount="1" totalsRowCount="0" totalsRowShown="0">
  <tableColumns count="1">
    <tableColumn id="1" name="Spalte1"/>
  </tableColumns>
</table>
</file>

<file path=xl/tables/table4.xml><?xml version="1.0" encoding="utf-8"?>
<table xmlns="http://schemas.openxmlformats.org/spreadsheetml/2006/main" id="4" name="topo" displayName="topo" ref="BE2:BE367" headerRowCount="1" totalsRowCount="0" totalsRowShown="0">
  <tableColumns count="1">
    <tableColumn id="1" name="Spalte1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table" Target="../tables/table1.xml"/><Relationship Id="rId3" Type="http://schemas.openxmlformats.org/officeDocument/2006/relationships/table" Target="../tables/table2.xml"/><Relationship Id="rId4" Type="http://schemas.openxmlformats.org/officeDocument/2006/relationships/table" Target="../tables/table3.xml"/><Relationship Id="rId5" Type="http://schemas.openxmlformats.org/officeDocument/2006/relationships/table" Target="../tables/table4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39" activeCellId="0" sqref="M39"/>
    </sheetView>
  </sheetViews>
  <sheetFormatPr defaultColWidth="9.625" defaultRowHeight="15" zeroHeight="false" outlineLevelRow="0" outlineLevelCol="0"/>
  <cols>
    <col collapsed="false" customWidth="false" hidden="false" outlineLevel="0" max="1" min="1" style="1" width="9.59"/>
    <col collapsed="false" customWidth="true" hidden="false" outlineLevel="0" max="2" min="2" style="1" width="12.06"/>
    <col collapsed="false" customWidth="true" hidden="false" outlineLevel="0" max="3" min="3" style="2" width="11.08"/>
    <col collapsed="false" customWidth="true" hidden="false" outlineLevel="0" max="4" min="4" style="1" width="11.05"/>
    <col collapsed="false" customWidth="false" hidden="false" outlineLevel="0" max="64" min="5" style="1" width="9.59"/>
  </cols>
  <sheetData>
    <row r="1" customFormat="false" ht="15" hidden="false" customHeight="false" outlineLevel="0" collapsed="false">
      <c r="A1" s="3" t="str">
        <f aca="false">calc!$A$1</f>
        <v>h UT</v>
      </c>
      <c r="B1" s="3" t="str">
        <f aca="false">calc!$B$1</f>
        <v>min</v>
      </c>
      <c r="C1" s="4" t="str">
        <f aca="false">calc!$C$1</f>
        <v>UT</v>
      </c>
      <c r="D1" s="3" t="str">
        <f aca="false">calc!$A$4</f>
        <v>Year</v>
      </c>
      <c r="E1" s="3" t="str">
        <f aca="false">calc!$B$4</f>
        <v>Lat.:</v>
      </c>
      <c r="F1" s="3" t="str">
        <f aca="false">calc!$B$6</f>
        <v>Long.:</v>
      </c>
    </row>
    <row r="2" customFormat="false" ht="15" hidden="false" customHeight="false" outlineLevel="0" collapsed="false">
      <c r="A2" s="5" t="n">
        <v>0</v>
      </c>
      <c r="B2" s="5" t="n">
        <v>0</v>
      </c>
      <c r="C2" s="6" t="n">
        <f aca="false">calc!$C$2</f>
        <v>0</v>
      </c>
      <c r="D2" s="7" t="n">
        <v>2022</v>
      </c>
      <c r="E2" s="5" t="n">
        <v>50</v>
      </c>
      <c r="F2" s="5" t="n">
        <v>15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customFormat="false" ht="15" hidden="false" customHeight="false" outlineLevel="0" collapsed="false">
      <c r="A3" s="8"/>
      <c r="B3" s="8"/>
      <c r="D3" s="9" t="str">
        <f aca="false">calc!$A$8</f>
        <v>common year</v>
      </c>
      <c r="E3" s="10" t="s">
        <v>0</v>
      </c>
      <c r="F3" s="10" t="s">
        <v>0</v>
      </c>
    </row>
    <row r="4" customFormat="false" ht="15" hidden="false" customHeight="false" outlineLevel="0" collapsed="false">
      <c r="D4" s="0"/>
    </row>
    <row r="5" customFormat="false" ht="15" hidden="false" customHeight="false" outlineLevel="0" collapsed="false">
      <c r="B5" s="11" t="s">
        <v>1</v>
      </c>
    </row>
    <row r="6" customFormat="false" ht="15" hidden="false" customHeight="false" outlineLevel="0" collapsed="false">
      <c r="B6" s="12" t="s">
        <v>2</v>
      </c>
    </row>
    <row r="7" customFormat="false" ht="15" hidden="false" customHeight="false" outlineLevel="0" collapsed="false">
      <c r="B7" s="12" t="s">
        <v>3</v>
      </c>
    </row>
    <row r="8" customFormat="false" ht="15" hidden="false" customHeight="false" outlineLevel="0" collapsed="false">
      <c r="B8" s="13" t="n">
        <v>44855</v>
      </c>
    </row>
    <row r="9" customFormat="false" ht="15" hidden="false" customHeight="false" outlineLevel="0" collapsed="false">
      <c r="B9" s="0"/>
    </row>
    <row r="10" customFormat="false" ht="15" hidden="false" customHeight="false" outlineLevel="0" collapsed="false">
      <c r="B10" s="14" t="s">
        <v>4</v>
      </c>
      <c r="C10" s="14"/>
    </row>
    <row r="11" customFormat="false" ht="15" hidden="false" customHeight="false" outlineLevel="0" collapsed="false">
      <c r="B11" s="15" t="s">
        <v>5</v>
      </c>
      <c r="C11" s="15"/>
    </row>
    <row r="12" customFormat="false" ht="15" hidden="false" customHeight="false" outlineLevel="0" collapsed="false">
      <c r="B12" s="0"/>
      <c r="C12" s="0"/>
    </row>
    <row r="13" customFormat="false" ht="15" hidden="false" customHeight="false" outlineLevel="0" collapsed="false">
      <c r="B13" s="16" t="str">
        <f aca="false">calc!$C$2&amp;" UT"</f>
        <v>0 UT</v>
      </c>
      <c r="C13" s="16"/>
    </row>
    <row r="14" customFormat="false" ht="15" hidden="false" customHeight="false" outlineLevel="0" collapsed="false">
      <c r="B14" s="10" t="s">
        <v>6</v>
      </c>
      <c r="C14" s="10" t="s">
        <v>7</v>
      </c>
    </row>
    <row r="15" customFormat="false" ht="15" hidden="false" customHeight="false" outlineLevel="0" collapsed="false">
      <c r="B15" s="17" t="n">
        <f aca="false">calc!$BE$370</f>
        <v>407938.123178164</v>
      </c>
      <c r="C15" s="17" t="n">
        <f aca="false">calc!$BE$369</f>
        <v>356032.577332595</v>
      </c>
    </row>
    <row r="16" customFormat="false" ht="15" hidden="false" customHeight="false" outlineLevel="0" collapsed="false">
      <c r="B16" s="18" t="s">
        <v>8</v>
      </c>
      <c r="C16" s="18" t="s">
        <v>8</v>
      </c>
    </row>
    <row r="17" customFormat="false" ht="15" hidden="false" customHeight="false" outlineLevel="0" collapsed="false">
      <c r="B17" s="18" t="str">
        <f aca="false">calc!$BG$370</f>
        <v>6 / 30</v>
      </c>
      <c r="C17" s="18" t="str">
        <f aca="false">calc!$BG$369</f>
        <v>6 / 15</v>
      </c>
    </row>
    <row r="18" customFormat="false" ht="15" hidden="false" customHeight="false" outlineLevel="0" collapsed="false">
      <c r="B18" s="0"/>
      <c r="C18" s="0"/>
    </row>
    <row r="21" customFormat="false" ht="15" hidden="false" customHeight="false" outlineLevel="0" collapsed="false">
      <c r="F21" s="0"/>
      <c r="G21" s="0"/>
    </row>
    <row r="22" customFormat="false" ht="15" hidden="false" customHeight="false" outlineLevel="0" collapsed="false">
      <c r="F22" s="0"/>
      <c r="G22" s="0"/>
    </row>
    <row r="29" customFormat="false" ht="15" hidden="false" customHeight="false" outlineLevel="0" collapsed="false">
      <c r="B29" s="16" t="str">
        <f aca="false">calc!$C$2&amp;" UT"</f>
        <v>0 UT</v>
      </c>
      <c r="C29" s="16"/>
    </row>
    <row r="30" customFormat="false" ht="15" hidden="false" customHeight="false" outlineLevel="0" collapsed="false">
      <c r="B30" s="10" t="s">
        <v>9</v>
      </c>
      <c r="C30" s="10" t="s">
        <v>10</v>
      </c>
    </row>
    <row r="31" customFormat="false" ht="15" hidden="false" customHeight="false" outlineLevel="0" collapsed="false">
      <c r="B31" s="19" t="n">
        <f aca="false">calc!$AU$369</f>
        <v>406553.24922143</v>
      </c>
      <c r="C31" s="19" t="n">
        <f aca="false">calc!$AU$370</f>
        <v>357402.676786795</v>
      </c>
    </row>
    <row r="32" customFormat="false" ht="15" hidden="false" customHeight="false" outlineLevel="0" collapsed="false">
      <c r="B32" s="18" t="s">
        <v>8</v>
      </c>
      <c r="C32" s="18" t="s">
        <v>8</v>
      </c>
    </row>
    <row r="33" customFormat="false" ht="15" hidden="false" customHeight="false" outlineLevel="0" collapsed="false">
      <c r="B33" s="20" t="str">
        <f aca="false">calc!$AW$369</f>
        <v>6 / 29</v>
      </c>
      <c r="C33" s="20" t="str">
        <f aca="false">calc!$AW$370</f>
        <v>7 / 13</v>
      </c>
    </row>
  </sheetData>
  <mergeCells count="4">
    <mergeCell ref="B10:C10"/>
    <mergeCell ref="B11:C11"/>
    <mergeCell ref="B13:C13"/>
    <mergeCell ref="B29:C29"/>
  </mergeCells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&amp;C&amp;10&amp;Kffffff&amp;A</oddHeader>
    <oddFooter>&amp;C&amp;10&amp;KffffffSeite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38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67" activeCellId="0" sqref="A167"/>
    </sheetView>
  </sheetViews>
  <sheetFormatPr defaultColWidth="9.625" defaultRowHeight="15" zeroHeight="false" outlineLevelRow="0" outlineLevelCol="0"/>
  <cols>
    <col collapsed="false" customWidth="true" hidden="false" outlineLevel="0" max="1" min="1" style="21" width="13.08"/>
    <col collapsed="false" customWidth="true" hidden="false" outlineLevel="0" max="2" min="2" style="22" width="7.78"/>
    <col collapsed="false" customWidth="true" hidden="false" outlineLevel="0" max="3" min="3" style="22" width="5.64"/>
    <col collapsed="false" customWidth="true" hidden="false" outlineLevel="0" max="4" min="4" style="23" width="5.3"/>
    <col collapsed="false" customWidth="true" hidden="false" outlineLevel="0" max="5" min="5" style="22" width="6.43"/>
    <col collapsed="false" customWidth="true" hidden="false" outlineLevel="0" max="6" min="6" style="24" width="7.22"/>
    <col collapsed="false" customWidth="true" hidden="false" outlineLevel="0" max="7" min="7" style="25" width="9.36"/>
    <col collapsed="false" customWidth="true" hidden="false" outlineLevel="0" max="8" min="8" style="26" width="7.33"/>
    <col collapsed="false" customWidth="true" hidden="false" outlineLevel="0" max="9" min="9" style="26" width="8.91"/>
    <col collapsed="false" customWidth="true" hidden="false" outlineLevel="0" max="10" min="10" style="27" width="14.1"/>
    <col collapsed="false" customWidth="true" hidden="false" outlineLevel="0" max="11" min="11" style="22" width="4.85"/>
    <col collapsed="false" customWidth="true" hidden="false" outlineLevel="0" max="12" min="12" style="28" width="10.26"/>
    <col collapsed="false" customWidth="true" hidden="false" outlineLevel="0" max="13" min="13" style="29" width="7.78"/>
    <col collapsed="false" customWidth="true" hidden="false" outlineLevel="0" max="14" min="14" style="30" width="6.2"/>
    <col collapsed="false" customWidth="true" hidden="false" outlineLevel="0" max="15" min="15" style="31" width="11.39"/>
    <col collapsed="false" customWidth="true" hidden="false" outlineLevel="0" max="16" min="16" style="32" width="5.75"/>
    <col collapsed="false" customWidth="true" hidden="false" outlineLevel="0" max="17" min="17" style="32" width="5.64"/>
    <col collapsed="false" customWidth="true" hidden="false" outlineLevel="0" max="19" min="18" style="32" width="5.75"/>
    <col collapsed="false" customWidth="true" hidden="false" outlineLevel="0" max="20" min="20" style="32" width="5.64"/>
    <col collapsed="false" customWidth="true" hidden="false" outlineLevel="0" max="21" min="21" style="33" width="6.88"/>
    <col collapsed="false" customWidth="true" hidden="false" outlineLevel="0" max="22" min="22" style="34" width="7.78"/>
    <col collapsed="false" customWidth="true" hidden="false" outlineLevel="0" max="23" min="23" style="33" width="6.43"/>
    <col collapsed="false" customWidth="true" hidden="false" outlineLevel="0" max="24" min="24" style="35" width="10.38"/>
    <col collapsed="false" customWidth="true" hidden="false" outlineLevel="0" max="25" min="25" style="33" width="6.99"/>
    <col collapsed="false" customWidth="true" hidden="false" outlineLevel="0" max="27" min="26" style="33" width="6.43"/>
    <col collapsed="false" customWidth="true" hidden="false" outlineLevel="0" max="28" min="28" style="33" width="5.87"/>
    <col collapsed="false" customWidth="true" hidden="false" outlineLevel="0" max="29" min="29" style="33" width="5.64"/>
    <col collapsed="false" customWidth="true" hidden="false" outlineLevel="0" max="30" min="30" style="33" width="6.77"/>
    <col collapsed="false" customWidth="true" hidden="false" outlineLevel="0" max="31" min="31" style="33" width="6.65"/>
    <col collapsed="false" customWidth="true" hidden="false" outlineLevel="0" max="32" min="32" style="33" width="6.43"/>
    <col collapsed="false" customWidth="true" hidden="false" outlineLevel="0" max="33" min="33" style="31" width="5.98"/>
    <col collapsed="false" customWidth="true" hidden="false" outlineLevel="0" max="34" min="34" style="36" width="6.2"/>
    <col collapsed="false" customWidth="true" hidden="false" outlineLevel="0" max="35" min="35" style="35" width="6.88"/>
    <col collapsed="false" customWidth="true" hidden="false" outlineLevel="0" max="36" min="36" style="32" width="10.6"/>
    <col collapsed="false" customWidth="true" hidden="false" outlineLevel="0" max="37" min="37" style="33" width="7.33"/>
    <col collapsed="false" customWidth="true" hidden="false" outlineLevel="0" max="38" min="38" style="32" width="5.98"/>
    <col collapsed="false" customWidth="true" hidden="false" outlineLevel="0" max="39" min="39" style="33" width="8.46"/>
    <col collapsed="false" customWidth="true" hidden="false" outlineLevel="0" max="40" min="40" style="37" width="8.46"/>
    <col collapsed="false" customWidth="true" hidden="false" outlineLevel="0" max="41" min="41" style="37" width="8.23"/>
    <col collapsed="false" customWidth="true" hidden="false" outlineLevel="0" max="42" min="42" style="37" width="8.01"/>
    <col collapsed="false" customWidth="true" hidden="false" outlineLevel="0" max="43" min="43" style="37" width="6.54"/>
    <col collapsed="false" customWidth="true" hidden="false" outlineLevel="0" max="44" min="44" style="22" width="10.15"/>
    <col collapsed="false" customWidth="true" hidden="false" outlineLevel="0" max="45" min="45" style="22" width="6.54"/>
    <col collapsed="false" customWidth="true" hidden="false" outlineLevel="0" max="46" min="46" style="38" width="13.08"/>
    <col collapsed="false" customWidth="true" hidden="false" outlineLevel="0" max="47" min="47" style="39" width="11.84"/>
    <col collapsed="false" customWidth="true" hidden="false" outlineLevel="0" max="48" min="48" style="22" width="9.86"/>
    <col collapsed="false" customWidth="true" hidden="false" outlineLevel="0" max="49" min="49" style="22" width="9.51"/>
    <col collapsed="false" customWidth="true" hidden="false" outlineLevel="0" max="50" min="50" style="22" width="8.41"/>
    <col collapsed="false" customWidth="true" hidden="false" outlineLevel="0" max="51" min="51" style="22" width="10.47"/>
    <col collapsed="false" customWidth="true" hidden="false" outlineLevel="0" max="52" min="52" style="21" width="8.53"/>
    <col collapsed="false" customWidth="true" hidden="false" outlineLevel="0" max="53" min="53" style="22" width="7.56"/>
    <col collapsed="false" customWidth="true" hidden="false" outlineLevel="0" max="54" min="54" style="22" width="10.47"/>
    <col collapsed="false" customWidth="true" hidden="false" outlineLevel="0" max="55" min="55" style="22" width="9.86"/>
    <col collapsed="false" customWidth="false" hidden="false" outlineLevel="0" max="56" min="56" style="22" width="9.63"/>
    <col collapsed="false" customWidth="true" hidden="false" outlineLevel="0" max="57" min="57" style="22" width="10.6"/>
    <col collapsed="false" customWidth="true" hidden="false" outlineLevel="0" max="59" min="58" style="0" width="11.16"/>
    <col collapsed="false" customWidth="false" hidden="false" outlineLevel="0" max="60" min="60" style="22" width="9.59"/>
    <col collapsed="false" customWidth="true" hidden="false" outlineLevel="0" max="61" min="61" style="22" width="35.3"/>
    <col collapsed="false" customWidth="false" hidden="false" outlineLevel="0" max="64" min="62" style="22" width="9.59"/>
  </cols>
  <sheetData>
    <row r="1" customFormat="false" ht="15" hidden="false" customHeight="false" outlineLevel="0" collapsed="false">
      <c r="A1" s="40" t="s">
        <v>11</v>
      </c>
      <c r="B1" s="40" t="s">
        <v>12</v>
      </c>
      <c r="C1" s="11" t="s">
        <v>13</v>
      </c>
      <c r="D1" s="41" t="s">
        <v>14</v>
      </c>
      <c r="E1" s="41" t="s">
        <v>15</v>
      </c>
      <c r="F1" s="42" t="s">
        <v>16</v>
      </c>
      <c r="G1" s="42" t="s">
        <v>17</v>
      </c>
      <c r="H1" s="43" t="s">
        <v>18</v>
      </c>
      <c r="I1" s="43" t="s">
        <v>19</v>
      </c>
      <c r="J1" s="44" t="s">
        <v>20</v>
      </c>
      <c r="K1" s="11" t="s">
        <v>21</v>
      </c>
      <c r="L1" s="45" t="s">
        <v>22</v>
      </c>
      <c r="M1" s="46" t="s">
        <v>23</v>
      </c>
      <c r="N1" s="47" t="s">
        <v>24</v>
      </c>
      <c r="O1" s="46" t="s">
        <v>25</v>
      </c>
      <c r="P1" s="48" t="s">
        <v>26</v>
      </c>
      <c r="Q1" s="48" t="s">
        <v>27</v>
      </c>
      <c r="R1" s="47" t="s">
        <v>28</v>
      </c>
      <c r="S1" s="48" t="s">
        <v>29</v>
      </c>
      <c r="T1" s="48" t="s">
        <v>30</v>
      </c>
      <c r="U1" s="49" t="s">
        <v>31</v>
      </c>
      <c r="V1" s="50" t="s">
        <v>32</v>
      </c>
      <c r="W1" s="49" t="s">
        <v>33</v>
      </c>
      <c r="X1" s="46" t="s">
        <v>34</v>
      </c>
      <c r="Y1" s="49" t="s">
        <v>35</v>
      </c>
      <c r="Z1" s="49" t="s">
        <v>36</v>
      </c>
      <c r="AA1" s="49" t="s">
        <v>37</v>
      </c>
      <c r="AB1" s="49" t="s">
        <v>38</v>
      </c>
      <c r="AC1" s="49" t="s">
        <v>39</v>
      </c>
      <c r="AD1" s="49" t="s">
        <v>40</v>
      </c>
      <c r="AE1" s="49" t="s">
        <v>41</v>
      </c>
      <c r="AF1" s="49" t="s">
        <v>42</v>
      </c>
      <c r="AG1" s="46" t="s">
        <v>43</v>
      </c>
      <c r="AH1" s="51" t="s">
        <v>44</v>
      </c>
      <c r="AI1" s="46" t="s">
        <v>45</v>
      </c>
      <c r="AJ1" s="48" t="s">
        <v>46</v>
      </c>
      <c r="AK1" s="49" t="s">
        <v>47</v>
      </c>
      <c r="AL1" s="48" t="s">
        <v>48</v>
      </c>
      <c r="AM1" s="49" t="s">
        <v>49</v>
      </c>
      <c r="AN1" s="46" t="s">
        <v>50</v>
      </c>
      <c r="AO1" s="48" t="s">
        <v>23</v>
      </c>
      <c r="AP1" s="48" t="s">
        <v>51</v>
      </c>
      <c r="AQ1" s="34" t="s">
        <v>52</v>
      </c>
      <c r="AR1" s="52" t="n">
        <v>1</v>
      </c>
      <c r="AS1" s="52" t="n">
        <v>2</v>
      </c>
      <c r="AT1" s="24" t="s">
        <v>53</v>
      </c>
      <c r="AU1" s="39" t="s">
        <v>54</v>
      </c>
      <c r="AV1" s="53" t="s">
        <v>55</v>
      </c>
      <c r="AW1" s="53" t="s">
        <v>56</v>
      </c>
      <c r="AX1" s="53" t="s">
        <v>57</v>
      </c>
      <c r="AY1" s="54" t="s">
        <v>58</v>
      </c>
      <c r="AZ1" s="55" t="s">
        <v>31</v>
      </c>
      <c r="BA1" s="56" t="s">
        <v>59</v>
      </c>
      <c r="BB1" s="56" t="s">
        <v>60</v>
      </c>
      <c r="BC1" s="56" t="s">
        <v>61</v>
      </c>
      <c r="BD1" s="57" t="s">
        <v>62</v>
      </c>
      <c r="BE1" s="58" t="s">
        <v>63</v>
      </c>
      <c r="BJ1" s="11"/>
      <c r="BK1" s="11"/>
      <c r="BL1" s="11"/>
    </row>
    <row r="2" customFormat="false" ht="15" hidden="false" customHeight="false" outlineLevel="0" collapsed="false">
      <c r="A2" s="59" t="n">
        <f aca="false">input!$A$2</f>
        <v>0</v>
      </c>
      <c r="B2" s="59" t="n">
        <f aca="false">input!$B$2</f>
        <v>0</v>
      </c>
      <c r="C2" s="41" t="n">
        <f aca="false">$A$2+$B$2/60</f>
        <v>0</v>
      </c>
      <c r="D2" s="41" t="n">
        <f aca="false">K2-INT(275*E2/9)+IF($A$8="common year",2,1)*INT((E2+9)/12)+30</f>
        <v>1</v>
      </c>
      <c r="E2" s="41" t="n">
        <f aca="false">IF(K2&lt;32,1,INT(9*(IF($A$8="common year",2,1)+K2)/275+0.98))</f>
        <v>1</v>
      </c>
      <c r="F2" s="42" t="n">
        <f aca="false">AM2</f>
        <v>-49.3153273986886</v>
      </c>
      <c r="G2" s="60" t="n">
        <f aca="false">F2+1.02/(TAN($A$10*(F2+10.3/(F2+5.11)))*60)</f>
        <v>-49.3298219876613</v>
      </c>
      <c r="H2" s="43" t="n">
        <f aca="false">100*(1+COS($A$10*AQ2))/2</f>
        <v>4.73387890774311</v>
      </c>
      <c r="I2" s="43" t="n">
        <f aca="false">IF(AI2&gt;180,AT2-180,AT2+180)</f>
        <v>66.4928457984618</v>
      </c>
      <c r="J2" s="61" t="n">
        <f aca="false">INT(365.25*IF(E2&gt;2,$A$5+4716,$A$5-1+4716))+INT(30.6001*IF(E2&gt;2,E2+1,E2+12+1))+D2+C2/24+2-INT(IF(E2&gt;2,$A$5,$A$5-1)/100)+INT(INT(IF(E2&gt;2,$A$5,$A$5-1)/100)/4)-1524.5</f>
        <v>2459580.5</v>
      </c>
      <c r="K2" s="21" t="n">
        <v>1</v>
      </c>
      <c r="L2" s="62" t="n">
        <f aca="false">(J2-2451545)/36525</f>
        <v>0.22</v>
      </c>
      <c r="M2" s="63" t="n">
        <f aca="false">MOD(280.46061837+360.98564736629*(J2-2451545)+0.000387933*L2^2-L2^3/38710000+$B$7,360)</f>
        <v>115.630048968829</v>
      </c>
      <c r="N2" s="30" t="n">
        <f aca="false">0.606433+1336.855225*L2 - INT(0.606433+1336.855225*L2)</f>
        <v>0.714582500000006</v>
      </c>
      <c r="O2" s="35" t="n">
        <f aca="false">22640*SIN(P2)-4586*SIN(P2-2*R2)+2370*SIN(2*R2)+769*SIN(2*P2)-668*SIN(Q2)-412*SIN(2*S2)-212*SIN(2*P2-2*R2)-206*SIN(P2+Q2-2*R2)+192*SIN(P2+2*R2)-165*SIN(Q2-2*R2)-125*SIN(R2)-110*SIN(P2+Q2)+148*SIN(P2-Q2)-55*SIN(2*S2-2*R2)</f>
        <v>-6286.31715470757</v>
      </c>
      <c r="P2" s="32" t="n">
        <f aca="false">2*PI()*(0.374897+1325.55241*L2 - INT(0.374897+1325.55241*L2))</f>
        <v>6.26073674271391</v>
      </c>
      <c r="Q2" s="36" t="n">
        <f aca="false">2*PI()*(0.993133+99.997361*L2 - INT(0.993133+99.997361*L2))</f>
        <v>6.23639078194954</v>
      </c>
      <c r="R2" s="36" t="n">
        <f aca="false">2*PI()*(0.827361+1236.853086*L2 - INT(0.827361+1236.853086*L2))</f>
        <v>5.87502908697043</v>
      </c>
      <c r="S2" s="36" t="n">
        <f aca="false">2*PI()*(0.259086+1342.227825*L2 - INT(0.259086+1342.227825*L2))</f>
        <v>3.45077249459298</v>
      </c>
      <c r="T2" s="36" t="n">
        <f aca="false">S2+(O2+412*SIN(2*S2)+541*SIN(Q2))/206264.8062</f>
        <v>3.4213307893874</v>
      </c>
      <c r="U2" s="36" t="n">
        <f aca="false">S2-2*R2</f>
        <v>-8.29928567934788</v>
      </c>
      <c r="V2" s="34" t="n">
        <f aca="false">-526*SIN(U2)+44*SIN(P2+U2)-31*SIN(-P2+U2)-23*SIN(Q2+U2)+11*SIN(-Q2+U2)-25*SIN(-2*P2+S2)+21*SIN(-P2+S2)</f>
        <v>475.663927059175</v>
      </c>
      <c r="W2" s="36" t="n">
        <f aca="false">2*PI()*(N2+O2/1296000-INT(N2+O2/1296000))</f>
        <v>4.45937733916374</v>
      </c>
      <c r="X2" s="35" t="n">
        <f aca="false">W2*180/PI()</f>
        <v>255.503500790361</v>
      </c>
      <c r="Y2" s="36" t="n">
        <f aca="false">(18520*SIN(T2)+V2)/206264.8062</f>
        <v>-0.022484599965203</v>
      </c>
      <c r="Z2" s="36" t="n">
        <f aca="false">Y2*180/PI()</f>
        <v>-1.28827268204613</v>
      </c>
      <c r="AA2" s="36" t="n">
        <f aca="false">COS(Y2)*COS(W2)</f>
        <v>-0.250257576365614</v>
      </c>
      <c r="AB2" s="36" t="n">
        <f aca="false">COS(Y2)*SIN(W2)</f>
        <v>-0.967918216290153</v>
      </c>
      <c r="AC2" s="36" t="n">
        <f aca="false">SIN(Y2)</f>
        <v>-0.0224827054710587</v>
      </c>
      <c r="AD2" s="36" t="n">
        <f aca="false">COS($A$10*(23.4393-46.815*L2/3600))*AB2-SIN($A$10*(23.4393-46.815*L2/3600))*AC2</f>
        <v>-0.879124685082015</v>
      </c>
      <c r="AE2" s="36" t="n">
        <f aca="false">SIN($A$10*(23.4393-46.815*L2/3600))*AB2+COS($A$10*(23.4393-46.815*L2/3600))*AC2</f>
        <v>-0.4055994742983</v>
      </c>
      <c r="AF2" s="36" t="n">
        <f aca="false">SQRT(1-AE2*AE2)</f>
        <v>0.914050910206288</v>
      </c>
      <c r="AG2" s="35" t="n">
        <f aca="false">ATAN(AE2/AF2)/$A$10</f>
        <v>-23.9286987386465</v>
      </c>
      <c r="AH2" s="36" t="n">
        <f aca="false">IF(24*ATAN(AD2/(AA2+AF2))/PI()&gt;0,24*ATAN(AD2/(AA2+AF2))/PI(),24*ATAN(AD2/(AA2+AF2))/PI()+24)</f>
        <v>16.9406738989116</v>
      </c>
      <c r="AI2" s="63" t="n">
        <f aca="false">IF(M2-15*AH2&gt;0,M2-15*AH2,360+M2-15*AH2)</f>
        <v>221.519940485155</v>
      </c>
      <c r="AJ2" s="32" t="n">
        <f aca="false">0.950724+0.051818*COS(P2)+0.009531*COS(2*R2-P2)+0.007843*COS(2*R2)+0.002824*COS(2*P2)+0.000857*COS(2*R2+P2)+0.000533*COS(2*R2-Q2)*(1-0.002495*(J2-2415020)/36525)+0.000401*COS(2*R2-Q2-P2)*(1-0.002495*(J2-2415020)/36525)+0.00032*COS(P2-Q2)*(1-0.002495*(J2-2415020)/36525)-0.000271*COS(R2)</f>
        <v>1.01872197862999</v>
      </c>
      <c r="AK2" s="36" t="n">
        <f aca="false">ASIN(COS($A$10*$B$5)*COS($A$10*AG2)*COS($A$10*AI2)+SIN($A$10*$B$5)*SIN($A$10*AG2))/$A$10</f>
        <v>-48.6435575878336</v>
      </c>
      <c r="AL2" s="32" t="n">
        <f aca="false">ASIN((0.9983271+0.0016764*COS($A$10*2*$B$5))*COS($A$10*AK2)*SIN($A$10*AJ2))/$A$10</f>
        <v>0.671769810854971</v>
      </c>
      <c r="AM2" s="32" t="n">
        <f aca="false">AK2-AL2</f>
        <v>-49.3153273986886</v>
      </c>
      <c r="AN2" s="35" t="n">
        <f aca="false"> MOD(280.4664567 + 360007.6982779*L2/10 + 0.03032028*L2^2/100 + L2^3/49931000,360)</f>
        <v>280.635833489028</v>
      </c>
      <c r="AO2" s="32" t="n">
        <f aca="false"> AN2 + (1.9146 - 0.004817*L2 - 0.000014*L2^2)*SIN(Q2)+ (0.019993 - 0.000101*L2)*SIN(2*Q2)+ 0.00029*SIN(3*Q2)</f>
        <v>280.544416091665</v>
      </c>
      <c r="AP2" s="32" t="n">
        <f aca="false">ACOS(COS(W2-$A$10*AO2)*COS(Y2))/$A$10</f>
        <v>25.0718974591421</v>
      </c>
      <c r="AQ2" s="34" t="n">
        <f aca="false">180 - AP2 -0.1468*(1-0.0549*SIN(Q2))*SIN($A$10*AP2)/(1-0.0167*SIN($A$10*AO2))</f>
        <v>154.8667429249</v>
      </c>
      <c r="AR2" s="64" t="n">
        <f aca="false">SIN($A$10*AI2)</f>
        <v>-0.662880664984072</v>
      </c>
      <c r="AS2" s="64" t="n">
        <f aca="false">COS($A$10*AI2)*SIN($A$10*$B$5) - TAN($A$10*AG2)*COS($A$10*$B$5)</f>
        <v>-0.288327140458664</v>
      </c>
      <c r="AT2" s="24" t="n">
        <f aca="false">IF(OR(AND(AR2*AS2&gt;0), AND(AR2&lt;0,AS2&gt;0)), MOD(ATAN2(AS2,AR2)/$A$10+360,360),  ATAN2(AS2,AR2)/$A$10)</f>
        <v>246.492845798462</v>
      </c>
      <c r="AU2" s="39" t="n">
        <f aca="false"> 385000.56 + (-20905355*COS(P2) - 3699111*COS(2*R2-P2) - 2955968*COS(2*R2) - 569925*COS(2*P2) + (1-0.002516*L2)*48888*COS(Q2) - 3149*COS(2*S2)  +246158*COS(2*R2-2*P2) -(1 - 0.002516*L2)*152138*COS(2*R2-Q2-P2) -170733*COS(2*R2+P2) -(1 - 0.002516*L2)*204586*COS(2*R2-Q2) -(1 - 0.002516*L2)*129620*COS(Q2-P2)  + 108743*COS(R2) +(1-0.002516*L2)*104755*COS(Q2+P2) +10321*COS(2*R2-2*S2) +79661*COS(P2-2*S2) -34782*COS(4*R2-P2) -23210*COS(3*P2)  -21636*COS(4*R2-2*P2) +(1 - 0.002516*L2)*24208*COS(2*R2+Q2-P2) +(1 - 0.002516*L2)*30824*COS(2*R2+Q2) -8379*COS(R2-P2) -(1 - 0.002516*L2)*16675*COS(R2+Q2)  -(1 - 0.002516*L2)*12831*COS(2*R2-Q2+P2) -10445*COS(2*R2+2*P2) -11650*COS(4*R2) +14403*COS(2*R2-3*P2) -(1-0.002516*L2)*7003*COS(Q2-2*P2)  + (1 - 0.002516*L2)*10056*COS(2*R2-Q2-2*P2) +6322*COS(R2+P2) -(1 - 0.002516*L2)*(1-0.002516*L2)*9884*COS(2*R2-2*Q2) +(1-0.002516*L2)*5751*COS(Q2+2*P2) - (1-0.002516*L2)^2*4950*COS(2*R2-2*Q2-P2)  +4130*COS(2*R2+P2-2*S2) -(1-0.002516*L2)*3958*COS(4*R2-Q2-P2) +3258*COS(3*R2-P2) +(1 - 0.002516*L2)*2616*COS(2*R2+Q2+P2) -(1 - 0.002516*L2)*1897*COS(4*R2-Q2-2*P2)  -(1-0.002516*L2)^2*2117*COS(2*Q2-P2) +(1-0.002516*L2)^2*2354*COS(2*R2+2*Q2-P2) -1423*COS(4*R2+P2) -1117*COS(4*P2) -(1-0.002516*L2)*1571*COS(4*R2-Q2)  -1739*COS(R2-2*P2) -4421*COS(2*P2-2*S2) +(1-0.002516*L2)^2*1165*COS(2*Q2+P2) +8752*COS(2*R2-P2-2*S2))/1000</f>
        <v>358890.617322509</v>
      </c>
      <c r="AV2" s="54" t="n">
        <f aca="false">ATAN(0.99664719*TAN($A$10*input!$E$2))</f>
        <v>0.871010436227447</v>
      </c>
      <c r="AW2" s="54" t="n">
        <f aca="false">COS(AV2)</f>
        <v>0.644053912545845</v>
      </c>
      <c r="AX2" s="54" t="n">
        <f aca="false">0.99664719*SIN(AV2)</f>
        <v>0.762415269897027</v>
      </c>
      <c r="AY2" s="54" t="n">
        <f aca="false">6378.14/AU2</f>
        <v>0.0177718215304259</v>
      </c>
      <c r="AZ2" s="55" t="n">
        <f aca="false">M2-15*AH2</f>
        <v>-138.480059514845</v>
      </c>
      <c r="BA2" s="56" t="n">
        <f aca="false">COS($A$10*AG2)*SIN($A$10*AZ2)</f>
        <v>-0.605906675186839</v>
      </c>
      <c r="BB2" s="56" t="n">
        <f aca="false">COS($A$10*AG2)*COS($A$10*AZ2)-AW2*AY2</f>
        <v>-0.69581883897659</v>
      </c>
      <c r="BC2" s="56" t="n">
        <f aca="false">SIN($A$10*AG2)-AX2*AY2</f>
        <v>-0.419148982406982</v>
      </c>
      <c r="BD2" s="57" t="n">
        <f aca="false">SQRT(BA2^2+BB2^2+BC2^2)</f>
        <v>1.01339657842501</v>
      </c>
      <c r="BE2" s="58" t="n">
        <f aca="false">AU2*BD2</f>
        <v>363698.523623468</v>
      </c>
      <c r="BJ2" s="40"/>
      <c r="BK2" s="40"/>
      <c r="BL2" s="40"/>
    </row>
    <row r="3" customFormat="false" ht="15" hidden="false" customHeight="false" outlineLevel="0" collapsed="false">
      <c r="A3" s="22"/>
      <c r="D3" s="41" t="n">
        <f aca="false">K3-INT(275*E3/9)+IF($A$8="common year",2,1)*INT((E3+9)/12)+30</f>
        <v>2</v>
      </c>
      <c r="E3" s="41" t="n">
        <f aca="false">IF(K3&lt;32,1,INT(9*(IF($A$8="common year",2,1)+K3)/275+0.98))</f>
        <v>1</v>
      </c>
      <c r="F3" s="42" t="n">
        <f aca="false">AM3</f>
        <v>-59.3288167379633</v>
      </c>
      <c r="G3" s="60" t="n">
        <f aca="false">F3+1.02/(TAN($A$10*(F3+10.3/(F3+5.11)))*60)</f>
        <v>-59.3388229960952</v>
      </c>
      <c r="H3" s="43" t="n">
        <f aca="false">100*(1+COS($A$10*AQ3))/2</f>
        <v>0.961176220471738</v>
      </c>
      <c r="I3" s="43" t="n">
        <f aca="false">IF(AI3&gt;180,AT3-180,AT3+180)</f>
        <v>49.3204342912463</v>
      </c>
      <c r="J3" s="61" t="n">
        <f aca="false">$J$2+K2</f>
        <v>2459581.5</v>
      </c>
      <c r="K3" s="21" t="n">
        <v>2</v>
      </c>
      <c r="L3" s="62" t="n">
        <f aca="false">(J3-2451545)/36525</f>
        <v>0.220027378507871</v>
      </c>
      <c r="M3" s="63" t="n">
        <f aca="false">MOD(280.46061837+360.98564736629*(J3-2451545)+0.000387933*L3^2-L3^3/38710000+$B$7,360)</f>
        <v>116.615696339868</v>
      </c>
      <c r="N3" s="30" t="n">
        <f aca="false">0.606433+1336.855225*L3 - INT(0.606433+1336.855225*L3)</f>
        <v>0.751183601300454</v>
      </c>
      <c r="O3" s="35" t="n">
        <f aca="false">22640*SIN(P3)-4586*SIN(P3-2*R3)+2370*SIN(2*R3)+769*SIN(2*P3)-668*SIN(Q3)-412*SIN(2*S3)-212*SIN(2*P3-2*R3)-206*SIN(P3+Q3-2*R3)+192*SIN(P3+2*R3)-165*SIN(Q3-2*R3)-125*SIN(R3)-110*SIN(P3+Q3)+148*SIN(P3-Q3)-55*SIN(2*S3-2*R3)</f>
        <v>735.063187859239</v>
      </c>
      <c r="P3" s="32" t="n">
        <f aca="false">2*PI()*(0.374897+1325.55241*L3 - INT(0.374897+1325.55241*L3))</f>
        <v>0.205578579310144</v>
      </c>
      <c r="Q3" s="36" t="n">
        <f aca="false">2*PI()*(0.993133+99.997361*L3 - INT(0.993133+99.997361*L3))</f>
        <v>6.25359275181654</v>
      </c>
      <c r="R3" s="36" t="n">
        <f aca="false">2*PI()*(0.827361+1236.853086*L3 - INT(0.827361+1236.853086*L3))</f>
        <v>6.08779779708945</v>
      </c>
      <c r="S3" s="36" t="n">
        <f aca="false">2*PI()*(0.259086+1342.227825*L3 - INT(0.259086+1342.227825*L3))</f>
        <v>3.68166821393398</v>
      </c>
      <c r="T3" s="36" t="n">
        <f aca="false">S3+(O3+412*SIN(2*S3)+541*SIN(Q3))/206264.8062</f>
        <v>3.68691608888609</v>
      </c>
      <c r="U3" s="36" t="n">
        <f aca="false">S3-2*R3</f>
        <v>-8.49392738024493</v>
      </c>
      <c r="V3" s="34" t="n">
        <f aca="false">-526*SIN(U3)+44*SIN(P3+U3)-31*SIN(-P3+U3)-23*SIN(Q3+U3)+11*SIN(-Q3+U3)-25*SIN(-2*P3+S3)+21*SIN(-P3+S3)</f>
        <v>407.909364976504</v>
      </c>
      <c r="W3" s="36" t="n">
        <f aca="false">2*PI()*(N3+O3/1296000-INT(N3+O3/1296000))</f>
        <v>4.7233894535848</v>
      </c>
      <c r="X3" s="35" t="n">
        <f aca="false">W3*180/PI()</f>
        <v>270.630280687013</v>
      </c>
      <c r="Y3" s="36" t="n">
        <f aca="false">(18520*SIN(T3)+V3)/206264.8062</f>
        <v>-0.044594691500539</v>
      </c>
      <c r="Z3" s="36" t="n">
        <f aca="false">Y3*180/PI()</f>
        <v>-2.55508761166881</v>
      </c>
      <c r="AA3" s="36" t="n">
        <f aca="false">COS(Y3)*COS(W3)</f>
        <v>0.010989315126341</v>
      </c>
      <c r="AB3" s="36" t="n">
        <f aca="false">COS(Y3)*SIN(W3)</f>
        <v>-0.998945377077678</v>
      </c>
      <c r="AC3" s="36" t="n">
        <f aca="false">SIN(Y3)</f>
        <v>-0.044579912159955</v>
      </c>
      <c r="AD3" s="36" t="n">
        <f aca="false">COS($A$10*(23.4393-46.815*L3/3600))*AB3-SIN($A$10*(23.4393-46.815*L3/3600))*AC3</f>
        <v>-0.898803410729432</v>
      </c>
      <c r="AE3" s="36" t="n">
        <f aca="false">SIN($A$10*(23.4393-46.815*L3/3600))*AB3+COS($A$10*(23.4393-46.815*L3/3600))*AC3</f>
        <v>-0.43821417573396</v>
      </c>
      <c r="AF3" s="36" t="n">
        <f aca="false">SQRT(1-AE3*AE3)</f>
        <v>0.898870589231735</v>
      </c>
      <c r="AG3" s="35" t="n">
        <f aca="false">ATAN(AE3/AF3)/$A$10</f>
        <v>-25.9899939301655</v>
      </c>
      <c r="AH3" s="36" t="n">
        <f aca="false">IF(24*ATAN(AD3/(AA3+AF3))/PI()&gt;0,24*ATAN(AD3/(AA3+AF3))/PI(),24*ATAN(AD3/(AA3+AF3))/PI()+24)</f>
        <v>18.0466998676069</v>
      </c>
      <c r="AI3" s="63" t="n">
        <f aca="false">IF(M3-15*AH3&gt;0,M3-15*AH3,360+M3-15*AH3)</f>
        <v>205.915198325765</v>
      </c>
      <c r="AJ3" s="32" t="n">
        <f aca="false">0.950724+0.051818*COS(P3)+0.009531*COS(2*R3-P3)+0.007843*COS(2*R3)+0.002824*COS(2*P3)+0.000857*COS(2*R3+P3)+0.000533*COS(2*R3-Q3)*(1-0.002495*(J3-2415020)/36525)+0.000401*COS(2*R3-Q3-P3)*(1-0.002495*(J3-2415020)/36525)+0.00032*COS(P3-Q3)*(1-0.002495*(J3-2415020)/36525)-0.000271*COS(R3)</f>
        <v>1.02089821980878</v>
      </c>
      <c r="AK3" s="36" t="n">
        <f aca="false">ASIN(COS($A$10*$B$5)*COS($A$10*AG3)*COS($A$10*AI3)+SIN($A$10*$B$5)*SIN($A$10*AG3))/$A$10</f>
        <v>-58.8010388204745</v>
      </c>
      <c r="AL3" s="32" t="n">
        <f aca="false">ASIN((0.9983271+0.0016764*COS($A$10*2*$B$5))*COS($A$10*AK3)*SIN($A$10*AJ3))/$A$10</f>
        <v>0.527777917488792</v>
      </c>
      <c r="AM3" s="32" t="n">
        <f aca="false">AK3-AL3</f>
        <v>-59.3288167379633</v>
      </c>
      <c r="AN3" s="35" t="n">
        <f aca="false"> MOD(280.4664567 + 360007.6982779*L3/10 + 0.03032028*L3^2/100 + L3^3/49931000,360)</f>
        <v>281.621480852784</v>
      </c>
      <c r="AO3" s="32" t="n">
        <f aca="false"> AN3 + (1.9146 - 0.004817*L3 - 0.000014*L3^2)*SIN(Q3)+ (0.019993 - 0.000101*L3)*SIN(2*Q3)+ 0.00029*SIN(3*Q3)</f>
        <v>281.563655600672</v>
      </c>
      <c r="AP3" s="32" t="n">
        <f aca="false">ACOS(COS(W3-$A$10*AO3)*COS(Y3))/$A$10</f>
        <v>11.2244249108525</v>
      </c>
      <c r="AQ3" s="34" t="n">
        <f aca="false">180 - AP3 -0.1468*(1-0.0549*SIN(Q3))*SIN($A$10*AP3)/(1-0.0167*SIN($A$10*AO3))</f>
        <v>168.747414421271</v>
      </c>
      <c r="AR3" s="64" t="n">
        <f aca="false">SIN($A$10*AI3)</f>
        <v>-0.437040390436425</v>
      </c>
      <c r="AS3" s="64" t="n">
        <f aca="false">COS($A$10*AI3)*SIN($A$10*$B$5) - TAN($A$10*AG3)*COS($A$10*$B$5)</f>
        <v>-0.375642937600809</v>
      </c>
      <c r="AT3" s="24" t="n">
        <f aca="false">IF(OR(AND(AR3*AS3&gt;0), AND(AR3&lt;0,AS3&gt;0)), MOD(ATAN2(AS3,AR3)/$A$10+360,360),  ATAN2(AS3,AR3)/$A$10)</f>
        <v>229.320434291246</v>
      </c>
      <c r="AU3" s="39" t="n">
        <f aca="false"> 385000.56 + (-20905355*COS(P3) - 3699111*COS(2*R3-P3) - 2955968*COS(2*R3) - 569925*COS(2*P3) + (1-0.002516*L3)*48888*COS(Q3) - 3149*COS(2*S3)  +246158*COS(2*R3-2*P3) -(1 - 0.002516*L3)*152138*COS(2*R3-Q3-P3) -170733*COS(2*R3+P3) -(1 - 0.002516*L3)*204586*COS(2*R3-Q3) -(1 - 0.002516*L3)*129620*COS(Q3-P3)  + 108743*COS(R3) +(1-0.002516*L3)*104755*COS(Q3+P3) +10321*COS(2*R3-2*S3) +79661*COS(P3-2*S3) -34782*COS(4*R3-P3) -23210*COS(3*P3)  -21636*COS(4*R3-2*P3) +(1 - 0.002516*L3)*24208*COS(2*R3+Q3-P3) +(1 - 0.002516*L3)*30824*COS(2*R3+Q3) -8379*COS(R3-P3) -(1 - 0.002516*L3)*16675*COS(R3+Q3)  -(1 - 0.002516*L3)*12831*COS(2*R3-Q3+P3) -10445*COS(2*R3+2*P3) -11650*COS(4*R3) +14403*COS(2*R3-3*P3) -(1-0.002516*L3)*7003*COS(Q3-2*P3)  + (1 - 0.002516*L3)*10056*COS(2*R3-Q3-2*P3) +6322*COS(R3+P3) -(1 - 0.002516*L3)*(1-0.002516*L3)*9884*COS(2*R3-2*Q3) +(1-0.002516*L3)*5751*COS(Q3+2*P3) - (1-0.002516*L3)^2*4950*COS(2*R3-2*Q3-P3)  +4130*COS(2*R3+P3-2*S3) -(1-0.002516*L3)*3958*COS(4*R3-Q3-P3) +3258*COS(3*R3-P3) +(1 - 0.002516*L3)*2616*COS(2*R3+Q3+P3) -(1 - 0.002516*L3)*1897*COS(4*R3-Q3-2*P3)  -(1-0.002516*L3)^2*2117*COS(2*Q3-P3) +(1-0.002516*L3)^2*2354*COS(2*R3+2*Q3-P3) -1423*COS(4*R3+P3) -1117*COS(4*P3) -(1-0.002516*L3)*1571*COS(4*R3-Q3)  -1739*COS(R3-2*P3) -4421*COS(2*P3-2*S3) +(1-0.002516*L3)^2*1165*COS(2*Q3+P3) +8752*COS(2*R3-P3-2*S3))/1000</f>
        <v>358034.323186647</v>
      </c>
      <c r="AV3" s="54" t="n">
        <f aca="false">ATAN(0.99664719*TAN($A$10*input!$E$2))</f>
        <v>0.871010436227447</v>
      </c>
      <c r="AW3" s="54" t="n">
        <f aca="false">COS(AV3)</f>
        <v>0.644053912545845</v>
      </c>
      <c r="AX3" s="54" t="n">
        <f aca="false">0.99664719*SIN(AV3)</f>
        <v>0.762415269897027</v>
      </c>
      <c r="AY3" s="54" t="n">
        <f aca="false">6378.14/AU3</f>
        <v>0.0178143255742411</v>
      </c>
      <c r="AZ3" s="55" t="n">
        <f aca="false">M3-15*AH3</f>
        <v>-154.084801674235</v>
      </c>
      <c r="BA3" s="56" t="n">
        <f aca="false">COS($A$10*AG3)*SIN($A$10*AZ3)</f>
        <v>-0.392842753269656</v>
      </c>
      <c r="BB3" s="56" t="n">
        <f aca="false">COS($A$10*AG3)*COS($A$10*AZ3)-AW3*AY3</f>
        <v>-0.819955239554859</v>
      </c>
      <c r="BC3" s="56" t="n">
        <f aca="false">SIN($A$10*AG3)-AX3*AY3</f>
        <v>-0.451796089574678</v>
      </c>
      <c r="BD3" s="57" t="n">
        <f aca="false">SQRT(BA3^2+BB3^2+BC3^2)</f>
        <v>1.01526928951137</v>
      </c>
      <c r="BE3" s="58" t="n">
        <f aca="false">AU3*BD3</f>
        <v>363501.252922391</v>
      </c>
    </row>
    <row r="4" customFormat="false" ht="15" hidden="false" customHeight="false" outlineLevel="0" collapsed="false">
      <c r="A4" s="40" t="s">
        <v>64</v>
      </c>
      <c r="B4" s="40" t="s">
        <v>65</v>
      </c>
      <c r="D4" s="41" t="n">
        <f aca="false">K4-INT(275*E4/9)+IF($A$8="common year",2,1)*INT((E4+9)/12)+30</f>
        <v>3</v>
      </c>
      <c r="E4" s="41" t="n">
        <f aca="false">IF(K4&lt;32,1,INT(9*(IF($A$8="common year",2,1)+K4)/275+0.98))</f>
        <v>1</v>
      </c>
      <c r="F4" s="42" t="n">
        <f aca="false">AM4</f>
        <v>-65.3340550019983</v>
      </c>
      <c r="G4" s="60" t="n">
        <f aca="false">F4+1.02/(TAN($A$10*(F4+10.3/(F4+5.11)))*60)</f>
        <v>-65.3418005270333</v>
      </c>
      <c r="H4" s="43" t="n">
        <f aca="false">100*(1+COS($A$10*AQ4))/2</f>
        <v>0.179150615435353</v>
      </c>
      <c r="I4" s="43" t="n">
        <f aca="false">IF(AI4&gt;180,AT4-180,AT4+180)</f>
        <v>21.5997424780006</v>
      </c>
      <c r="J4" s="61" t="n">
        <f aca="false">$J$2+K3</f>
        <v>2459582.5</v>
      </c>
      <c r="K4" s="21" t="n">
        <v>3</v>
      </c>
      <c r="L4" s="62" t="n">
        <f aca="false">(J4-2451545)/36525</f>
        <v>0.220054757015743</v>
      </c>
      <c r="M4" s="63" t="n">
        <f aca="false">MOD(280.46061837+360.98564736629*(J4-2451545)+0.000387933*L4^2-L4^3/38710000+$B$7,360)</f>
        <v>117.601343710907</v>
      </c>
      <c r="N4" s="30" t="n">
        <f aca="false">0.606433+1336.855225*L4 - INT(0.606433+1336.855225*L4)</f>
        <v>0.787784702600959</v>
      </c>
      <c r="O4" s="35" t="n">
        <f aca="false">22640*SIN(P4)-4586*SIN(P4-2*R4)+2370*SIN(2*R4)+769*SIN(2*P4)-668*SIN(Q4)-412*SIN(2*S4)-212*SIN(2*P4-2*R4)-206*SIN(P4+Q4-2*R4)+192*SIN(P4+2*R4)-165*SIN(Q4-2*R4)-125*SIN(R4)-110*SIN(P4+Q4)+148*SIN(P4-Q4)-55*SIN(2*S4-2*R4)</f>
        <v>7818.13453679293</v>
      </c>
      <c r="P4" s="32" t="n">
        <f aca="false">2*PI()*(0.374897+1325.55241*L4 - INT(0.374897+1325.55241*L4))</f>
        <v>0.433605723085962</v>
      </c>
      <c r="Q4" s="36" t="n">
        <f aca="false">2*PI()*(0.993133+99.997361*L4 - INT(0.993133+99.997361*L4))</f>
        <v>6.27079472168353</v>
      </c>
      <c r="R4" s="36" t="n">
        <f aca="false">2*PI()*(0.827361+1236.853086*L4 - INT(0.827361+1236.853086*L4))</f>
        <v>0.0173812000288906</v>
      </c>
      <c r="S4" s="36" t="n">
        <f aca="false">2*PI()*(0.259086+1342.227825*L4 - INT(0.259086+1342.227825*L4))</f>
        <v>3.91256393327498</v>
      </c>
      <c r="T4" s="36" t="n">
        <f aca="false">S4+(O4+412*SIN(2*S4)+541*SIN(Q4))/206264.8062</f>
        <v>3.95243142236213</v>
      </c>
      <c r="U4" s="36" t="n">
        <f aca="false">S4-2*R4</f>
        <v>3.8778015332172</v>
      </c>
      <c r="V4" s="34" t="n">
        <f aca="false">-526*SIN(U4)+44*SIN(P4+U4)-31*SIN(-P4+U4)-23*SIN(Q4+U4)+11*SIN(-Q4+U4)-25*SIN(-2*P4+S4)+21*SIN(-P4+S4)</f>
        <v>320.320314445578</v>
      </c>
      <c r="W4" s="36" t="n">
        <f aca="false">2*PI()*(N4+O4/1296000-INT(N4+O4/1296000))</f>
        <v>4.98770065444511</v>
      </c>
      <c r="X4" s="35" t="n">
        <f aca="false">W4*180/PI()</f>
        <v>285.774196974343</v>
      </c>
      <c r="Y4" s="36" t="n">
        <f aca="false">(18520*SIN(T4)+V4)/206264.8062</f>
        <v>-0.0635308773395349</v>
      </c>
      <c r="Z4" s="36" t="n">
        <f aca="false">Y4*180/PI()</f>
        <v>-3.64005114031867</v>
      </c>
      <c r="AA4" s="36" t="n">
        <f aca="false">COS(Y4)*COS(W4)</f>
        <v>0.271298460783055</v>
      </c>
      <c r="AB4" s="36" t="n">
        <f aca="false">COS(Y4)*SIN(W4)</f>
        <v>-0.960399083771373</v>
      </c>
      <c r="AC4" s="36" t="n">
        <f aca="false">SIN(Y4)</f>
        <v>-0.0634881490347015</v>
      </c>
      <c r="AD4" s="36" t="n">
        <f aca="false">COS($A$10*(23.4393-46.815*L4/3600))*AB4-SIN($A$10*(23.4393-46.815*L4/3600))*AC4</f>
        <v>-0.855916716483013</v>
      </c>
      <c r="AE4" s="36" t="n">
        <f aca="false">SIN($A$10*(23.4393-46.815*L4/3600))*AB4+COS($A$10*(23.4393-46.815*L4/3600))*AC4</f>
        <v>-0.440231438702057</v>
      </c>
      <c r="AF4" s="36" t="n">
        <f aca="false">SQRT(1-AE4*AE4)</f>
        <v>0.897884335746157</v>
      </c>
      <c r="AG4" s="35" t="n">
        <f aca="false">ATAN(AE4/AF4)/$A$10</f>
        <v>-26.1186487668042</v>
      </c>
      <c r="AH4" s="36" t="n">
        <f aca="false">IF(24*ATAN(AD4/(AA4+AF4))/PI()&gt;0,24*ATAN(AD4/(AA4+AF4))/PI(),24*ATAN(AD4/(AA4+AF4))/PI()+24)</f>
        <v>19.1724642862342</v>
      </c>
      <c r="AI4" s="63" t="n">
        <f aca="false">IF(M4-15*AH4&gt;0,M4-15*AH4,360+M4-15*AH4)</f>
        <v>190.014379417394</v>
      </c>
      <c r="AJ4" s="32" t="n">
        <f aca="false">0.950724+0.051818*COS(P4)+0.009531*COS(2*R4-P4)+0.007843*COS(2*R4)+0.002824*COS(2*P4)+0.000857*COS(2*R4+P4)+0.000533*COS(2*R4-Q4)*(1-0.002495*(J4-2415020)/36525)+0.000401*COS(2*R4-Q4-P4)*(1-0.002495*(J4-2415020)/36525)+0.00032*COS(P4-Q4)*(1-0.002495*(J4-2415020)/36525)-0.000271*COS(R4)</f>
        <v>1.01787742553162</v>
      </c>
      <c r="AK4" s="36" t="n">
        <f aca="false">ASIN(COS($A$10*$B$5)*COS($A$10*AG4)*COS($A$10*AI4)+SIN($A$10*$B$5)*SIN($A$10*AG4))/$A$10</f>
        <v>-64.9031898297391</v>
      </c>
      <c r="AL4" s="32" t="n">
        <f aca="false">ASIN((0.9983271+0.0016764*COS($A$10*2*$B$5))*COS($A$10*AK4)*SIN($A$10*AJ4))/$A$10</f>
        <v>0.430865172259189</v>
      </c>
      <c r="AM4" s="32" t="n">
        <f aca="false">AK4-AL4</f>
        <v>-65.3340550019983</v>
      </c>
      <c r="AN4" s="35" t="n">
        <f aca="false"> MOD(280.4664567 + 360007.6982779*L4/10 + 0.03032028*L4^2/100 + L4^3/49931000,360)</f>
        <v>282.607128216541</v>
      </c>
      <c r="AO4" s="32" t="n">
        <f aca="false"> AN4 + (1.9146 - 0.004817*L4 - 0.000014*L4^2)*SIN(Q4)+ (0.019993 - 0.000101*L4)*SIN(2*Q4)+ 0.00029*SIN(3*Q4)</f>
        <v>282.582913324844</v>
      </c>
      <c r="AP4" s="32" t="n">
        <f aca="false">ACOS(COS(W4-$A$10*AO4)*COS(Y4))/$A$10</f>
        <v>4.83947882143829</v>
      </c>
      <c r="AQ4" s="34" t="n">
        <f aca="false">180 - AP4 -0.1468*(1-0.0549*SIN(Q4))*SIN($A$10*AP4)/(1-0.0167*SIN($A$10*AO4))</f>
        <v>175.148326808802</v>
      </c>
      <c r="AR4" s="64" t="n">
        <f aca="false">SIN($A$10*AI4)</f>
        <v>-0.173895327603219</v>
      </c>
      <c r="AS4" s="64" t="n">
        <f aca="false">COS($A$10*AI4)*SIN($A$10*$B$5) - TAN($A$10*AG4)*COS($A$10*$B$5)</f>
        <v>-0.439215229265654</v>
      </c>
      <c r="AT4" s="24" t="n">
        <f aca="false">IF(OR(AND(AR4*AS4&gt;0), AND(AR4&lt;0,AS4&gt;0)), MOD(ATAN2(AS4,AR4)/$A$10+360,360),  ATAN2(AS4,AR4)/$A$10)</f>
        <v>201.599742478001</v>
      </c>
      <c r="AU4" s="39" t="n">
        <f aca="false"> 385000.56 + (-20905355*COS(P4) - 3699111*COS(2*R4-P4) - 2955968*COS(2*R4) - 569925*COS(2*P4) + (1-0.002516*L4)*48888*COS(Q4) - 3149*COS(2*S4)  +246158*COS(2*R4-2*P4) -(1 - 0.002516*L4)*152138*COS(2*R4-Q4-P4) -170733*COS(2*R4+P4) -(1 - 0.002516*L4)*204586*COS(2*R4-Q4) -(1 - 0.002516*L4)*129620*COS(Q4-P4)  + 108743*COS(R4) +(1-0.002516*L4)*104755*COS(Q4+P4) +10321*COS(2*R4-2*S4) +79661*COS(P4-2*S4) -34782*COS(4*R4-P4) -23210*COS(3*P4)  -21636*COS(4*R4-2*P4) +(1 - 0.002516*L4)*24208*COS(2*R4+Q4-P4) +(1 - 0.002516*L4)*30824*COS(2*R4+Q4) -8379*COS(R4-P4) -(1 - 0.002516*L4)*16675*COS(R4+Q4)  -(1 - 0.002516*L4)*12831*COS(2*R4-Q4+P4) -10445*COS(2*R4+2*P4) -11650*COS(4*R4) +14403*COS(2*R4-3*P4) -(1-0.002516*L4)*7003*COS(Q4-2*P4)  + (1 - 0.002516*L4)*10056*COS(2*R4-Q4-2*P4) +6322*COS(R4+P4) -(1 - 0.002516*L4)*(1-0.002516*L4)*9884*COS(2*R4-2*Q4) +(1-0.002516*L4)*5751*COS(Q4+2*P4) - (1-0.002516*L4)^2*4950*COS(2*R4-2*Q4-P4)  +4130*COS(2*R4+P4-2*S4) -(1-0.002516*L4)*3958*COS(4*R4-Q4-P4) +3258*COS(3*R4-P4) +(1 - 0.002516*L4)*2616*COS(2*R4+Q4+P4) -(1 - 0.002516*L4)*1897*COS(4*R4-Q4-2*P4)  -(1-0.002516*L4)^2*2117*COS(2*Q4-P4) +(1-0.002516*L4)^2*2354*COS(2*R4+2*Q4-P4) -1423*COS(4*R4+P4) -1117*COS(4*P4) -(1-0.002516*L4)*1571*COS(4*R4-Q4)  -1739*COS(R4-2*P4) -4421*COS(2*P4-2*S4) +(1-0.002516*L4)^2*1165*COS(2*Q4+P4) +8752*COS(2*R4-P4-2*S4))/1000</f>
        <v>359079.098953901</v>
      </c>
      <c r="AV4" s="54" t="n">
        <f aca="false">ATAN(0.99664719*TAN($A$10*input!$E$2))</f>
        <v>0.871010436227447</v>
      </c>
      <c r="AW4" s="54" t="n">
        <f aca="false">COS(AV4)</f>
        <v>0.644053912545845</v>
      </c>
      <c r="AX4" s="54" t="n">
        <f aca="false">0.99664719*SIN(AV4)</f>
        <v>0.762415269897027</v>
      </c>
      <c r="AY4" s="54" t="n">
        <f aca="false">6378.14/AU4</f>
        <v>0.0177624930512005</v>
      </c>
      <c r="AZ4" s="55" t="n">
        <f aca="false">M4-15*AH4</f>
        <v>-169.985620582606</v>
      </c>
      <c r="BA4" s="56" t="n">
        <f aca="false">COS($A$10*AG4)*SIN($A$10*AZ4)</f>
        <v>-0.156137890714376</v>
      </c>
      <c r="BB4" s="56" t="n">
        <f aca="false">COS($A$10*AG4)*COS($A$10*AZ4)-AW4*AY4</f>
        <v>-0.895644300501496</v>
      </c>
      <c r="BC4" s="56" t="n">
        <f aca="false">SIN($A$10*AG4)-AX4*AY4</f>
        <v>-0.453773834635732</v>
      </c>
      <c r="BD4" s="57" t="n">
        <f aca="false">SQRT(BA4^2+BB4^2+BC4^2)</f>
        <v>1.01610454527945</v>
      </c>
      <c r="BE4" s="58" t="n">
        <f aca="false">AU4*BD4</f>
        <v>364861.90456191</v>
      </c>
    </row>
    <row r="5" customFormat="false" ht="15" hidden="false" customHeight="false" outlineLevel="0" collapsed="false">
      <c r="A5" s="65" t="n">
        <f aca="false">input!$D$2</f>
        <v>2022</v>
      </c>
      <c r="B5" s="66" t="n">
        <f aca="false">input!$E$2</f>
        <v>50</v>
      </c>
      <c r="D5" s="41" t="n">
        <f aca="false">K5-INT(275*E5/9)+IF($A$8="common year",2,1)*INT((E5+9)/12)+30</f>
        <v>4</v>
      </c>
      <c r="E5" s="41" t="n">
        <f aca="false">IF(K5&lt;32,1,INT(9*(IF($A$8="common year",2,1)+K5)/275+0.98))</f>
        <v>1</v>
      </c>
      <c r="F5" s="42" t="n">
        <f aca="false">AM5</f>
        <v>-64.4256441712704</v>
      </c>
      <c r="G5" s="60" t="n">
        <f aca="false">F5+1.02/(TAN($A$10*(F5+10.3/(F5+5.11)))*60)</f>
        <v>-64.4337166223918</v>
      </c>
      <c r="H5" s="43" t="n">
        <f aca="false">100*(1+COS($A$10*AQ5))/2</f>
        <v>2.38615342045263</v>
      </c>
      <c r="I5" s="43" t="n">
        <f aca="false">IF(AI5&gt;180,AT5-180,AT5+180)</f>
        <v>348.596737532392</v>
      </c>
      <c r="J5" s="61" t="n">
        <f aca="false">$J$2+K4</f>
        <v>2459583.5</v>
      </c>
      <c r="K5" s="21" t="n">
        <v>4</v>
      </c>
      <c r="L5" s="62" t="n">
        <f aca="false">(J5-2451545)/36525</f>
        <v>0.220082135523614</v>
      </c>
      <c r="M5" s="63" t="n">
        <f aca="false">MOD(280.46061837+360.98564736629*(J5-2451545)+0.000387933*L5^2-L5^3/38710000+$B$7,360)</f>
        <v>118.58699108148</v>
      </c>
      <c r="N5" s="30" t="n">
        <f aca="false">0.606433+1336.855225*L5 - INT(0.606433+1336.855225*L5)</f>
        <v>0.824385803901407</v>
      </c>
      <c r="O5" s="35" t="n">
        <f aca="false">22640*SIN(P5)-4586*SIN(P5-2*R5)+2370*SIN(2*R5)+769*SIN(2*P5)-668*SIN(Q5)-412*SIN(2*S5)-212*SIN(2*P5-2*R5)-206*SIN(P5+Q5-2*R5)+192*SIN(P5+2*R5)-165*SIN(Q5-2*R5)-125*SIN(R5)-110*SIN(P5+Q5)+148*SIN(P5-Q5)-55*SIN(2*S5-2*R5)</f>
        <v>14395.415882797</v>
      </c>
      <c r="P5" s="32" t="n">
        <f aca="false">2*PI()*(0.374897+1325.55241*L5 - INT(0.374897+1325.55241*L5))</f>
        <v>0.66163286686178</v>
      </c>
      <c r="Q5" s="36" t="n">
        <f aca="false">2*PI()*(0.993133+99.997361*L5 - INT(0.993133+99.997361*L5))</f>
        <v>0.00481138437094917</v>
      </c>
      <c r="R5" s="36" t="n">
        <f aca="false">2*PI()*(0.827361+1236.853086*L5 - INT(0.827361+1236.853086*L5))</f>
        <v>0.230149910147915</v>
      </c>
      <c r="S5" s="36" t="n">
        <f aca="false">2*PI()*(0.259086+1342.227825*L5 - INT(0.259086+1342.227825*L5))</f>
        <v>4.14345965261563</v>
      </c>
      <c r="T5" s="36" t="n">
        <f aca="false">S5+(O5+412*SIN(2*S5)+541*SIN(Q5))/206264.8062</f>
        <v>4.21507636139988</v>
      </c>
      <c r="U5" s="36" t="n">
        <f aca="false">S5-2*R5</f>
        <v>3.6831598323198</v>
      </c>
      <c r="V5" s="34" t="n">
        <f aca="false">-526*SIN(U5)+44*SIN(P5+U5)-31*SIN(-P5+U5)-23*SIN(Q5+U5)+11*SIN(-Q5+U5)-25*SIN(-2*P5+S5)+21*SIN(-P5+S5)</f>
        <v>217.789255706311</v>
      </c>
      <c r="W5" s="36" t="n">
        <f aca="false">2*PI()*(N5+O5/1296000-INT(N5+O5/1296000))</f>
        <v>5.24955971617317</v>
      </c>
      <c r="X5" s="35" t="n">
        <f aca="false">W5*180/PI()</f>
        <v>300.777616038617</v>
      </c>
      <c r="Y5" s="36" t="n">
        <f aca="false">(18520*SIN(T5)+V5)/206264.8062</f>
        <v>-0.0778554641469171</v>
      </c>
      <c r="Z5" s="36" t="n">
        <f aca="false">Y5*180/PI()</f>
        <v>-4.46078950765045</v>
      </c>
      <c r="AA5" s="36" t="n">
        <f aca="false">COS(Y5)*COS(W5)</f>
        <v>0.510157185941746</v>
      </c>
      <c r="AB5" s="36" t="n">
        <f aca="false">COS(Y5)*SIN(W5)</f>
        <v>-0.85655730082318</v>
      </c>
      <c r="AC5" s="36" t="n">
        <f aca="false">SIN(Y5)</f>
        <v>-0.0777768348450058</v>
      </c>
      <c r="AD5" s="36" t="n">
        <f aca="false">COS($A$10*(23.4393-46.815*L5/3600))*AB5-SIN($A$10*(23.4393-46.815*L5/3600))*AC5</f>
        <v>-0.754958629332465</v>
      </c>
      <c r="AE5" s="36" t="n">
        <f aca="false">SIN($A$10*(23.4393-46.815*L5/3600))*AB5+COS($A$10*(23.4393-46.815*L5/3600))*AC5</f>
        <v>-0.412040184482587</v>
      </c>
      <c r="AF5" s="36" t="n">
        <f aca="false">SQRT(1-AE5*AE5)</f>
        <v>0.911165674491503</v>
      </c>
      <c r="AG5" s="35" t="n">
        <f aca="false">ATAN(AE5/AF5)/$A$10</f>
        <v>-24.3330605903099</v>
      </c>
      <c r="AH5" s="36" t="n">
        <f aca="false">IF(24*ATAN(AD5/(AA5+AF5))/PI()&gt;0,24*ATAN(AD5/(AA5+AF5))/PI(),24*ATAN(AD5/(AA5+AF5))/PI()+24)</f>
        <v>20.2699028482094</v>
      </c>
      <c r="AI5" s="63" t="n">
        <f aca="false">IF(M5-15*AH5&gt;0,M5-15*AH5,360+M5-15*AH5)</f>
        <v>174.538448358339</v>
      </c>
      <c r="AJ5" s="32" t="n">
        <f aca="false">0.950724+0.051818*COS(P5)+0.009531*COS(2*R5-P5)+0.007843*COS(2*R5)+0.002824*COS(2*P5)+0.000857*COS(2*R5+P5)+0.000533*COS(2*R5-Q5)*(1-0.002495*(J5-2415020)/36525)+0.000401*COS(2*R5-Q5-P5)*(1-0.002495*(J5-2415020)/36525)+0.00032*COS(P5-Q5)*(1-0.002495*(J5-2415020)/36525)-0.000271*COS(R5)</f>
        <v>1.00989417227058</v>
      </c>
      <c r="AK5" s="36" t="n">
        <f aca="false">ASIN(COS($A$10*$B$5)*COS($A$10*AG5)*COS($A$10*AI5)+SIN($A$10*$B$5)*SIN($A$10*AG5))/$A$10</f>
        <v>-63.9835638365677</v>
      </c>
      <c r="AL5" s="32" t="n">
        <f aca="false">ASIN((0.9983271+0.0016764*COS($A$10*2*$B$5))*COS($A$10*AK5)*SIN($A$10*AJ5))/$A$10</f>
        <v>0.442080334702639</v>
      </c>
      <c r="AM5" s="32" t="n">
        <f aca="false">AK5-AL5</f>
        <v>-64.4256441712704</v>
      </c>
      <c r="AN5" s="35" t="n">
        <f aca="false"> MOD(280.4664567 + 360007.6982779*L5/10 + 0.03032028*L5^2/100 + L5^3/49931000,360)</f>
        <v>283.592775580299</v>
      </c>
      <c r="AO5" s="32" t="n">
        <f aca="false"> AN5 + (1.9146 - 0.004817*L5 - 0.000014*L5^2)*SIN(Q5)+ (0.019993 - 0.000101*L5)*SIN(2*Q5)+ 0.00029*SIN(3*Q5)</f>
        <v>283.602178674222</v>
      </c>
      <c r="AP5" s="32" t="n">
        <f aca="false">ACOS(COS(W5-$A$10*AO5)*COS(Y5))/$A$10</f>
        <v>17.728350665514</v>
      </c>
      <c r="AQ5" s="34" t="n">
        <f aca="false">180 - AP5 -0.1468*(1-0.0549*SIN(Q5))*SIN($A$10*AP5)/(1-0.0167*SIN($A$10*AO5))</f>
        <v>162.227673689357</v>
      </c>
      <c r="AR5" s="64" t="n">
        <f aca="false">SIN($A$10*AI5)</f>
        <v>0.0951777699283978</v>
      </c>
      <c r="AS5" s="64" t="n">
        <f aca="false">COS($A$10*AI5)*SIN($A$10*$B$5) - TAN($A$10*AG5)*COS($A$10*$B$5)</f>
        <v>-0.471890460692958</v>
      </c>
      <c r="AT5" s="24" t="n">
        <f aca="false">IF(OR(AND(AR5*AS5&gt;0), AND(AR5&lt;0,AS5&gt;0)), MOD(ATAN2(AS5,AR5)/$A$10+360,360),  ATAN2(AS5,AR5)/$A$10)</f>
        <v>168.596737532392</v>
      </c>
      <c r="AU5" s="39" t="n">
        <f aca="false"> 385000.56 + (-20905355*COS(P5) - 3699111*COS(2*R5-P5) - 2955968*COS(2*R5) - 569925*COS(2*P5) + (1-0.002516*L5)*48888*COS(Q5) - 3149*COS(2*S5)  +246158*COS(2*R5-2*P5) -(1 - 0.002516*L5)*152138*COS(2*R5-Q5-P5) -170733*COS(2*R5+P5) -(1 - 0.002516*L5)*204586*COS(2*R5-Q5) -(1 - 0.002516*L5)*129620*COS(Q5-P5)  + 108743*COS(R5) +(1-0.002516*L5)*104755*COS(Q5+P5) +10321*COS(2*R5-2*S5) +79661*COS(P5-2*S5) -34782*COS(4*R5-P5) -23210*COS(3*P5)  -21636*COS(4*R5-2*P5) +(1 - 0.002516*L5)*24208*COS(2*R5+Q5-P5) +(1 - 0.002516*L5)*30824*COS(2*R5+Q5) -8379*COS(R5-P5) -(1 - 0.002516*L5)*16675*COS(R5+Q5)  -(1 - 0.002516*L5)*12831*COS(2*R5-Q5+P5) -10445*COS(2*R5+2*P5) -11650*COS(4*R5) +14403*COS(2*R5-3*P5) -(1-0.002516*L5)*7003*COS(Q5-2*P5)  + (1 - 0.002516*L5)*10056*COS(2*R5-Q5-2*P5) +6322*COS(R5+P5) -(1 - 0.002516*L5)*(1-0.002516*L5)*9884*COS(2*R5-2*Q5) +(1-0.002516*L5)*5751*COS(Q5+2*P5) - (1-0.002516*L5)^2*4950*COS(2*R5-2*Q5-P5)  +4130*COS(2*R5+P5-2*S5) -(1-0.002516*L5)*3958*COS(4*R5-Q5-P5) +3258*COS(3*R5-P5) +(1 - 0.002516*L5)*2616*COS(2*R5+Q5+P5) -(1 - 0.002516*L5)*1897*COS(4*R5-Q5-2*P5)  -(1-0.002516*L5)^2*2117*COS(2*Q5-P5) +(1-0.002516*L5)^2*2354*COS(2*R5+2*Q5-P5) -1423*COS(4*R5+P5) -1117*COS(4*P5) -(1-0.002516*L5)*1571*COS(4*R5-Q5)  -1739*COS(R5-2*P5) -4421*COS(2*P5-2*S5) +(1-0.002516*L5)^2*1165*COS(2*Q5+P5) +8752*COS(2*R5-P5-2*S5))/1000</f>
        <v>361965.133281612</v>
      </c>
      <c r="AV5" s="54" t="n">
        <f aca="false">ATAN(0.99664719*TAN($A$10*input!$E$2))</f>
        <v>0.871010436227447</v>
      </c>
      <c r="AW5" s="54" t="n">
        <f aca="false">COS(AV5)</f>
        <v>0.644053912545845</v>
      </c>
      <c r="AX5" s="54" t="n">
        <f aca="false">0.99664719*SIN(AV5)</f>
        <v>0.762415269897027</v>
      </c>
      <c r="AY5" s="54" t="n">
        <f aca="false">6378.14/AU5</f>
        <v>0.0176208684581721</v>
      </c>
      <c r="AZ5" s="55" t="n">
        <f aca="false">M5-15*AH5</f>
        <v>-185.461551641661</v>
      </c>
      <c r="BA5" s="56" t="n">
        <f aca="false">COS($A$10*AG5)*SIN($A$10*AZ5)</f>
        <v>0.0867227169334067</v>
      </c>
      <c r="BB5" s="56" t="n">
        <f aca="false">COS($A$10*AG5)*COS($A$10*AZ5)-AW5*AY5</f>
        <v>-0.918378037279445</v>
      </c>
      <c r="BC5" s="56" t="n">
        <f aca="false">SIN($A$10*AG5)-AX5*AY5</f>
        <v>-0.425474603663944</v>
      </c>
      <c r="BD5" s="57" t="n">
        <f aca="false">SQRT(BA5^2+BB5^2+BC5^2)</f>
        <v>1.01585810394589</v>
      </c>
      <c r="BE5" s="58" t="n">
        <f aca="false">AU5*BD5</f>
        <v>367705.213989981</v>
      </c>
    </row>
    <row r="6" customFormat="false" ht="15" hidden="false" customHeight="false" outlineLevel="0" collapsed="false">
      <c r="A6" s="22"/>
      <c r="B6" s="67" t="s">
        <v>66</v>
      </c>
      <c r="D6" s="41" t="n">
        <f aca="false">K6-INT(275*E6/9)+IF($A$8="common year",2,1)*INT((E6+9)/12)+30</f>
        <v>5</v>
      </c>
      <c r="E6" s="41" t="n">
        <f aca="false">IF(K6&lt;32,1,INT(9*(IF($A$8="common year",2,1)+K6)/275+0.98))</f>
        <v>1</v>
      </c>
      <c r="F6" s="42" t="n">
        <f aca="false">AM6</f>
        <v>-57.4695775689234</v>
      </c>
      <c r="G6" s="60" t="n">
        <f aca="false">F6+1.02/(TAN($A$10*(F6+10.3/(F6+5.11)))*60)</f>
        <v>-57.4803385254453</v>
      </c>
      <c r="H6" s="43" t="n">
        <f aca="false">100*(1+COS($A$10*AQ6))/2</f>
        <v>7.28037757181169</v>
      </c>
      <c r="I6" s="43" t="n">
        <f aca="false">IF(AI6&gt;180,AT6-180,AT6+180)</f>
        <v>324.261432007867</v>
      </c>
      <c r="J6" s="61" t="n">
        <f aca="false">$J$2+K5</f>
        <v>2459584.5</v>
      </c>
      <c r="K6" s="21" t="n">
        <v>5</v>
      </c>
      <c r="L6" s="62" t="n">
        <f aca="false">(J6-2451545)/36525</f>
        <v>0.220109514031485</v>
      </c>
      <c r="M6" s="63" t="n">
        <f aca="false">MOD(280.46061837+360.98564736629*(J6-2451545)+0.000387933*L6^2-L6^3/38710000+$B$7,360)</f>
        <v>119.572638452519</v>
      </c>
      <c r="N6" s="30" t="n">
        <f aca="false">0.606433+1336.855225*L6 - INT(0.606433+1336.855225*L6)</f>
        <v>0.860986905201912</v>
      </c>
      <c r="O6" s="35" t="n">
        <f aca="false">22640*SIN(P6)-4586*SIN(P6-2*R6)+2370*SIN(2*R6)+769*SIN(2*P6)-668*SIN(Q6)-412*SIN(2*S6)-212*SIN(2*P6-2*R6)-206*SIN(P6+Q6-2*R6)+192*SIN(P6+2*R6)-165*SIN(Q6-2*R6)-125*SIN(R6)-110*SIN(P6+Q6)+148*SIN(P6-Q6)-55*SIN(2*S6-2*R6)</f>
        <v>19946.0878741031</v>
      </c>
      <c r="P6" s="32" t="n">
        <f aca="false">2*PI()*(0.374897+1325.55241*L6 - INT(0.374897+1325.55241*L6))</f>
        <v>0.88966001063724</v>
      </c>
      <c r="Q6" s="36" t="n">
        <f aca="false">2*PI()*(0.993133+99.997361*L6 - INT(0.993133+99.997361*L6))</f>
        <v>0.0220133542379341</v>
      </c>
      <c r="R6" s="36" t="n">
        <f aca="false">2*PI()*(0.827361+1236.853086*L6 - INT(0.827361+1236.853086*L6))</f>
        <v>0.442918620266939</v>
      </c>
      <c r="S6" s="36" t="n">
        <f aca="false">2*PI()*(0.259086+1342.227825*L6 - INT(0.259086+1342.227825*L6))</f>
        <v>4.37435537195664</v>
      </c>
      <c r="T6" s="36" t="n">
        <f aca="false">S6+(O6+412*SIN(2*S6)+541*SIN(Q6))/206264.8062</f>
        <v>4.4723643213689</v>
      </c>
      <c r="U6" s="36" t="n">
        <f aca="false">S6-2*R6</f>
        <v>3.48851813142276</v>
      </c>
      <c r="V6" s="34" t="n">
        <f aca="false">-526*SIN(U6)+44*SIN(P6+U6)-31*SIN(-P6+U6)-23*SIN(Q6+U6)+11*SIN(-Q6+U6)-25*SIN(-2*P6+S6)+21*SIN(-P6+S6)</f>
        <v>105.992486895037</v>
      </c>
      <c r="W6" s="36" t="n">
        <f aca="false">2*PI()*(N6+O6/1296000-INT(N6+O6/1296000))</f>
        <v>5.50644163529846</v>
      </c>
      <c r="X6" s="35" t="n">
        <f aca="false">W6*180/PI()</f>
        <v>315.495865837717</v>
      </c>
      <c r="Y6" s="36" t="n">
        <f aca="false">(18520*SIN(T6)+V6)/206264.8062</f>
        <v>-0.0866996099632136</v>
      </c>
      <c r="Z6" s="36" t="n">
        <f aca="false">Y6*180/PI()</f>
        <v>-4.96752173632252</v>
      </c>
      <c r="AA6" s="36" t="n">
        <f aca="false">COS(Y6)*COS(W6)</f>
        <v>0.71052105363735</v>
      </c>
      <c r="AB6" s="36" t="n">
        <f aca="false">COS(Y6)*SIN(W6)</f>
        <v>-0.698327878084605</v>
      </c>
      <c r="AC6" s="36" t="n">
        <f aca="false">SIN(Y6)</f>
        <v>-0.0865910331842917</v>
      </c>
      <c r="AD6" s="36" t="n">
        <f aca="false">COS($A$10*(23.4393-46.815*L6/3600))*AB6-SIN($A$10*(23.4393-46.815*L6/3600))*AC6</f>
        <v>-0.606277156470531</v>
      </c>
      <c r="AE6" s="36" t="n">
        <f aca="false">SIN($A$10*(23.4393-46.815*L6/3600))*AB6+COS($A$10*(23.4393-46.815*L6/3600))*AC6</f>
        <v>-0.357194403483703</v>
      </c>
      <c r="AF6" s="36" t="n">
        <f aca="false">SQRT(1-AE6*AE6)</f>
        <v>0.934030062749546</v>
      </c>
      <c r="AG6" s="35" t="n">
        <f aca="false">ATAN(AE6/AF6)/$A$10</f>
        <v>-20.9279943779164</v>
      </c>
      <c r="AH6" s="36" t="n">
        <f aca="false">IF(24*ATAN(AD6/(AA6+AF6))/PI()&gt;0,24*ATAN(AD6/(AA6+AF6))/PI(),24*ATAN(AD6/(AA6+AF6))/PI()+24)</f>
        <v>21.3017574434582</v>
      </c>
      <c r="AI6" s="63" t="n">
        <f aca="false">IF(M6-15*AH6&gt;0,M6-15*AH6,360+M6-15*AH6)</f>
        <v>160.046276800646</v>
      </c>
      <c r="AJ6" s="32" t="n">
        <f aca="false">0.950724+0.051818*COS(P6)+0.009531*COS(2*R6-P6)+0.007843*COS(2*R6)+0.002824*COS(2*P6)+0.000857*COS(2*R6+P6)+0.000533*COS(2*R6-Q6)*(1-0.002495*(J6-2415020)/36525)+0.000401*COS(2*R6-Q6-P6)*(1-0.002495*(J6-2415020)/36525)+0.00032*COS(P6-Q6)*(1-0.002495*(J6-2415020)/36525)-0.000271*COS(R6)</f>
        <v>0.997792712050201</v>
      </c>
      <c r="AK6" s="36" t="n">
        <f aca="false">ASIN(COS($A$10*$B$5)*COS($A$10*AG6)*COS($A$10*AI6)+SIN($A$10*$B$5)*SIN($A$10*AG6))/$A$10</f>
        <v>-56.9261513327219</v>
      </c>
      <c r="AL6" s="32" t="n">
        <f aca="false">ASIN((0.9983271+0.0016764*COS($A$10*2*$B$5))*COS($A$10*AK6)*SIN($A$10*AJ6))/$A$10</f>
        <v>0.543426236201545</v>
      </c>
      <c r="AM6" s="32" t="n">
        <f aca="false">AK6-AL6</f>
        <v>-57.4695775689234</v>
      </c>
      <c r="AN6" s="35" t="n">
        <f aca="false"> MOD(280.4664567 + 360007.6982779*L6/10 + 0.03032028*L6^2/100 + L6^3/49931000,360)</f>
        <v>284.578422944058</v>
      </c>
      <c r="AO6" s="32" t="n">
        <f aca="false"> AN6 + (1.9146 - 0.004817*L6 - 0.000014*L6^2)*SIN(Q6)+ (0.019993 - 0.000101*L6)*SIN(2*Q6)+ 0.00029*SIN(3*Q6)</f>
        <v>284.621441056008</v>
      </c>
      <c r="AP6" s="32" t="n">
        <f aca="false">ACOS(COS(W6-$A$10*AO6)*COS(Y6))/$A$10</f>
        <v>31.232503571872</v>
      </c>
      <c r="AQ6" s="34" t="n">
        <f aca="false">180 - AP6 -0.1468*(1-0.0549*SIN(Q6))*SIN($A$10*AP6)/(1-0.0167*SIN($A$10*AO6))</f>
        <v>148.692679799252</v>
      </c>
      <c r="AR6" s="64" t="n">
        <f aca="false">SIN($A$10*AI6)</f>
        <v>0.341261058528166</v>
      </c>
      <c r="AS6" s="64" t="n">
        <f aca="false">COS($A$10*AI6)*SIN($A$10*$B$5) - TAN($A$10*AG6)*COS($A$10*$B$5)</f>
        <v>-0.474241045036628</v>
      </c>
      <c r="AT6" s="24" t="n">
        <f aca="false">IF(OR(AND(AR6*AS6&gt;0), AND(AR6&lt;0,AS6&gt;0)), MOD(ATAN2(AS6,AR6)/$A$10+360,360),  ATAN2(AS6,AR6)/$A$10)</f>
        <v>144.261432007867</v>
      </c>
      <c r="AU6" s="39" t="n">
        <f aca="false"> 385000.56 + (-20905355*COS(P6) - 3699111*COS(2*R6-P6) - 2955968*COS(2*R6) - 569925*COS(2*P6) + (1-0.002516*L6)*48888*COS(Q6) - 3149*COS(2*S6)  +246158*COS(2*R6-2*P6) -(1 - 0.002516*L6)*152138*COS(2*R6-Q6-P6) -170733*COS(2*R6+P6) -(1 - 0.002516*L6)*204586*COS(2*R6-Q6) -(1 - 0.002516*L6)*129620*COS(Q6-P6)  + 108743*COS(R6) +(1-0.002516*L6)*104755*COS(Q6+P6) +10321*COS(2*R6-2*S6) +79661*COS(P6-2*S6) -34782*COS(4*R6-P6) -23210*COS(3*P6)  -21636*COS(4*R6-2*P6) +(1 - 0.002516*L6)*24208*COS(2*R6+Q6-P6) +(1 - 0.002516*L6)*30824*COS(2*R6+Q6) -8379*COS(R6-P6) -(1 - 0.002516*L6)*16675*COS(R6+Q6)  -(1 - 0.002516*L6)*12831*COS(2*R6-Q6+P6) -10445*COS(2*R6+2*P6) -11650*COS(4*R6) +14403*COS(2*R6-3*P6) -(1-0.002516*L6)*7003*COS(Q6-2*P6)  + (1 - 0.002516*L6)*10056*COS(2*R6-Q6-2*P6) +6322*COS(R6+P6) -(1 - 0.002516*L6)*(1-0.002516*L6)*9884*COS(2*R6-2*Q6) +(1-0.002516*L6)*5751*COS(Q6+2*P6) - (1-0.002516*L6)^2*4950*COS(2*R6-2*Q6-P6)  +4130*COS(2*R6+P6-2*S6) -(1-0.002516*L6)*3958*COS(4*R6-Q6-P6) +3258*COS(3*R6-P6) +(1 - 0.002516*L6)*2616*COS(2*R6+Q6+P6) -(1 - 0.002516*L6)*1897*COS(4*R6-Q6-2*P6)  -(1-0.002516*L6)^2*2117*COS(2*Q6-P6) +(1-0.002516*L6)^2*2354*COS(2*R6+2*Q6-P6) -1423*COS(4*R6+P6) -1117*COS(4*P6) -(1-0.002516*L6)*1571*COS(4*R6-Q6)  -1739*COS(R6-2*P6) -4421*COS(2*P6-2*S6) +(1-0.002516*L6)^2*1165*COS(2*Q6+P6) +8752*COS(2*R6-P6-2*S6))/1000</f>
        <v>366418.562042338</v>
      </c>
      <c r="AV6" s="54" t="n">
        <f aca="false">ATAN(0.99664719*TAN($A$10*input!$E$2))</f>
        <v>0.871010436227447</v>
      </c>
      <c r="AW6" s="54" t="n">
        <f aca="false">COS(AV6)</f>
        <v>0.644053912545845</v>
      </c>
      <c r="AX6" s="54" t="n">
        <f aca="false">0.99664719*SIN(AV6)</f>
        <v>0.762415269897027</v>
      </c>
      <c r="AY6" s="54" t="n">
        <f aca="false">6378.14/AU6</f>
        <v>0.0174067055021712</v>
      </c>
      <c r="AZ6" s="55" t="n">
        <f aca="false">M6-15*AH6</f>
        <v>-199.953723199354</v>
      </c>
      <c r="BA6" s="56" t="n">
        <f aca="false">COS($A$10*AG6)*SIN($A$10*AZ6)</f>
        <v>0.31874808791104</v>
      </c>
      <c r="BB6" s="56" t="n">
        <f aca="false">COS($A$10*AG6)*COS($A$10*AZ6)-AW6*AY6</f>
        <v>-0.88916974794667</v>
      </c>
      <c r="BC6" s="56" t="n">
        <f aca="false">SIN($A$10*AG6)-AX6*AY6</f>
        <v>-0.370465541557159</v>
      </c>
      <c r="BD6" s="57" t="n">
        <f aca="false">SQRT(BA6^2+BB6^2+BC6^2)</f>
        <v>1.01462697662329</v>
      </c>
      <c r="BE6" s="58" t="n">
        <f aca="false">AU6*BD6</f>
        <v>371778.157783672</v>
      </c>
    </row>
    <row r="7" customFormat="false" ht="15" hidden="false" customHeight="false" outlineLevel="0" collapsed="false">
      <c r="A7" s="64"/>
      <c r="B7" s="59" t="n">
        <f aca="false">input!$F$2</f>
        <v>15</v>
      </c>
      <c r="D7" s="41" t="n">
        <f aca="false">K7-INT(275*E7/9)+IF($A$8="common year",2,1)*INT((E7+9)/12)+30</f>
        <v>6</v>
      </c>
      <c r="E7" s="41" t="n">
        <f aca="false">IF(K7&lt;32,1,INT(9*(IF($A$8="common year",2,1)+K7)/275+0.98))</f>
        <v>1</v>
      </c>
      <c r="F7" s="42" t="n">
        <f aca="false">AM7</f>
        <v>-47.6833973103745</v>
      </c>
      <c r="G7" s="60" t="n">
        <f aca="false">F7+1.02/(TAN($A$10*(F7+10.3/(F7+5.11)))*60)</f>
        <v>-47.6987443417012</v>
      </c>
      <c r="H7" s="43" t="n">
        <f aca="false">100*(1+COS($A$10*AQ7))/2</f>
        <v>14.3458873864905</v>
      </c>
      <c r="I7" s="43" t="n">
        <f aca="false">IF(AI7&gt;180,AT7-180,AT7+180)</f>
        <v>309.524740759347</v>
      </c>
      <c r="J7" s="61" t="n">
        <f aca="false">$J$2+K6</f>
        <v>2459585.5</v>
      </c>
      <c r="K7" s="21" t="n">
        <v>6</v>
      </c>
      <c r="L7" s="62" t="n">
        <f aca="false">(J7-2451545)/36525</f>
        <v>0.220136892539357</v>
      </c>
      <c r="M7" s="63" t="n">
        <f aca="false">MOD(280.46061837+360.98564736629*(J7-2451545)+0.000387933*L7^2-L7^3/38710000+$B$7,360)</f>
        <v>120.558285823558</v>
      </c>
      <c r="N7" s="30" t="n">
        <f aca="false">0.606433+1336.855225*L7 - INT(0.606433+1336.855225*L7)</f>
        <v>0.897588006502417</v>
      </c>
      <c r="O7" s="35" t="n">
        <f aca="false">22640*SIN(P7)-4586*SIN(P7-2*R7)+2370*SIN(2*R7)+769*SIN(2*P7)-668*SIN(Q7)-412*SIN(2*S7)-212*SIN(2*P7-2*R7)-206*SIN(P7+Q7-2*R7)+192*SIN(P7+2*R7)-165*SIN(Q7-2*R7)-125*SIN(R7)-110*SIN(P7+Q7)+148*SIN(P7-Q7)-55*SIN(2*S7-2*R7)</f>
        <v>24064.6384563611</v>
      </c>
      <c r="P7" s="32" t="n">
        <f aca="false">2*PI()*(0.374897+1325.55241*L7 - INT(0.374897+1325.55241*L7))</f>
        <v>1.11768715441306</v>
      </c>
      <c r="Q7" s="36" t="n">
        <f aca="false">2*PI()*(0.993133+99.997361*L7 - INT(0.993133+99.997361*L7))</f>
        <v>0.039215324104919</v>
      </c>
      <c r="R7" s="36" t="n">
        <f aca="false">2*PI()*(0.827361+1236.853086*L7 - INT(0.827361+1236.853086*L7))</f>
        <v>0.655687330385606</v>
      </c>
      <c r="S7" s="36" t="n">
        <f aca="false">2*PI()*(0.259086+1342.227825*L7 - INT(0.259086+1342.227825*L7))</f>
        <v>4.60525109129764</v>
      </c>
      <c r="T7" s="36" t="n">
        <f aca="false">S7+(O7+412*SIN(2*S7)+541*SIN(Q7))/206264.8062</f>
        <v>4.72244731377786</v>
      </c>
      <c r="U7" s="36" t="n">
        <f aca="false">S7-2*R7</f>
        <v>3.29387643052643</v>
      </c>
      <c r="V7" s="34" t="n">
        <f aca="false">-526*SIN(U7)+44*SIN(P7+U7)-31*SIN(-P7+U7)-23*SIN(Q7+U7)+11*SIN(-Q7+U7)-25*SIN(-2*P7+S7)+21*SIN(-P7+S7)</f>
        <v>-9.14163334366795</v>
      </c>
      <c r="W7" s="36" t="n">
        <f aca="false">2*PI()*(N7+O7/1296000-INT(N7+O7/1296000))</f>
        <v>5.75638043390259</v>
      </c>
      <c r="X7" s="35" t="n">
        <f aca="false">W7*180/PI()</f>
        <v>329.816304134304</v>
      </c>
      <c r="Y7" s="36" t="n">
        <f aca="false">(18520*SIN(T7)+V7)/206264.8062</f>
        <v>-0.0898272717858726</v>
      </c>
      <c r="Z7" s="36" t="n">
        <f aca="false">Y7*180/PI()</f>
        <v>-5.14672355850508</v>
      </c>
      <c r="AA7" s="36" t="n">
        <f aca="false">COS(Y7)*COS(W7)</f>
        <v>0.860932783538831</v>
      </c>
      <c r="AB7" s="36" t="n">
        <f aca="false">COS(Y7)*SIN(W7)</f>
        <v>-0.500746924830305</v>
      </c>
      <c r="AC7" s="36" t="n">
        <f aca="false">SIN(Y7)</f>
        <v>-0.0897065187211732</v>
      </c>
      <c r="AD7" s="36" t="n">
        <f aca="false">COS($A$10*(23.4393-46.815*L7/3600))*AB7-SIN($A$10*(23.4393-46.815*L7/3600))*AC7</f>
        <v>-0.423757137298547</v>
      </c>
      <c r="AE7" s="36" t="n">
        <f aca="false">SIN($A$10*(23.4393-46.815*L7/3600))*AB7+COS($A$10*(23.4393-46.815*L7/3600))*AC7</f>
        <v>-0.281468703085476</v>
      </c>
      <c r="AF7" s="36" t="n">
        <f aca="false">SQRT(1-AE7*AE7)</f>
        <v>0.959570408663888</v>
      </c>
      <c r="AG7" s="35" t="n">
        <f aca="false">ATAN(AE7/AF7)/$A$10</f>
        <v>-16.3478810668919</v>
      </c>
      <c r="AH7" s="36" t="n">
        <f aca="false">IF(24*ATAN(AD7/(AA7+AF7))/PI()&gt;0,24*ATAN(AD7/(AA7+AF7))/PI(),24*ATAN(AD7/(AA7+AF7))/PI()+24)</f>
        <v>22.2528844135539</v>
      </c>
      <c r="AI7" s="63" t="n">
        <f aca="false">IF(M7-15*AH7&gt;0,M7-15*AH7,360+M7-15*AH7)</f>
        <v>146.765019620249</v>
      </c>
      <c r="AJ7" s="32" t="n">
        <f aca="false">0.950724+0.051818*COS(P7)+0.009531*COS(2*R7-P7)+0.007843*COS(2*R7)+0.002824*COS(2*P7)+0.000857*COS(2*R7+P7)+0.000533*COS(2*R7-Q7)*(1-0.002495*(J7-2415020)/36525)+0.000401*COS(2*R7-Q7-P7)*(1-0.002495*(J7-2415020)/36525)+0.00032*COS(P7-Q7)*(1-0.002495*(J7-2415020)/36525)-0.000271*COS(R7)</f>
        <v>0.982869902800611</v>
      </c>
      <c r="AK7" s="36" t="n">
        <f aca="false">ASIN(COS($A$10*$B$5)*COS($A$10*AG7)*COS($A$10*AI7)+SIN($A$10*$B$5)*SIN($A$10*AG7))/$A$10</f>
        <v>-47.0145985790914</v>
      </c>
      <c r="AL7" s="32" t="n">
        <f aca="false">ASIN((0.9983271+0.0016764*COS($A$10*2*$B$5))*COS($A$10*AK7)*SIN($A$10*AJ7))/$A$10</f>
        <v>0.668798731283159</v>
      </c>
      <c r="AM7" s="32" t="n">
        <f aca="false">AK7-AL7</f>
        <v>-47.6833973103745</v>
      </c>
      <c r="AN7" s="35" t="n">
        <f aca="false"> MOD(280.4664567 + 360007.6982779*L7/10 + 0.03032028*L7^2/100 + L7^3/49931000,360)</f>
        <v>285.564070307815</v>
      </c>
      <c r="AO7" s="32" t="n">
        <f aca="false"> AN7 + (1.9146 - 0.004817*L7 - 0.000014*L7^2)*SIN(Q7)+ (0.019993 - 0.000101*L7)*SIN(2*Q7)+ 0.00029*SIN(3*Q7)</f>
        <v>285.640689878509</v>
      </c>
      <c r="AP7" s="32" t="n">
        <f aca="false">ACOS(COS(W7-$A$10*AO7)*COS(Y7))/$A$10</f>
        <v>44.4128570575082</v>
      </c>
      <c r="AQ7" s="34" t="n">
        <f aca="false">180 - AP7 -0.1468*(1-0.0549*SIN(Q7))*SIN($A$10*AP7)/(1-0.0167*SIN($A$10*AO7))</f>
        <v>135.486252435513</v>
      </c>
      <c r="AR7" s="64" t="n">
        <f aca="false">SIN($A$10*AI7)</f>
        <v>0.548073985103794</v>
      </c>
      <c r="AS7" s="64" t="n">
        <f aca="false">COS($A$10*AI7)*SIN($A$10*$B$5) - TAN($A$10*AG7)*COS($A$10*$B$5)</f>
        <v>-0.452194951604966</v>
      </c>
      <c r="AT7" s="24" t="n">
        <f aca="false">IF(OR(AND(AR7*AS7&gt;0), AND(AR7&lt;0,AS7&gt;0)), MOD(ATAN2(AS7,AR7)/$A$10+360,360),  ATAN2(AS7,AR7)/$A$10)</f>
        <v>129.524740759347</v>
      </c>
      <c r="AU7" s="39" t="n">
        <f aca="false"> 385000.56 + (-20905355*COS(P7) - 3699111*COS(2*R7-P7) - 2955968*COS(2*R7) - 569925*COS(2*P7) + (1-0.002516*L7)*48888*COS(Q7) - 3149*COS(2*S7)  +246158*COS(2*R7-2*P7) -(1 - 0.002516*L7)*152138*COS(2*R7-Q7-P7) -170733*COS(2*R7+P7) -(1 - 0.002516*L7)*204586*COS(2*R7-Q7) -(1 - 0.002516*L7)*129620*COS(Q7-P7)  + 108743*COS(R7) +(1-0.002516*L7)*104755*COS(Q7+P7) +10321*COS(2*R7-2*S7) +79661*COS(P7-2*S7) -34782*COS(4*R7-P7) -23210*COS(3*P7)  -21636*COS(4*R7-2*P7) +(1 - 0.002516*L7)*24208*COS(2*R7+Q7-P7) +(1 - 0.002516*L7)*30824*COS(2*R7+Q7) -8379*COS(R7-P7) -(1 - 0.002516*L7)*16675*COS(R7+Q7)  -(1 - 0.002516*L7)*12831*COS(2*R7-Q7+P7) -10445*COS(2*R7+2*P7) -11650*COS(4*R7) +14403*COS(2*R7-3*P7) -(1-0.002516*L7)*7003*COS(Q7-2*P7)  + (1 - 0.002516*L7)*10056*COS(2*R7-Q7-2*P7) +6322*COS(R7+P7) -(1 - 0.002516*L7)*(1-0.002516*L7)*9884*COS(2*R7-2*Q7) +(1-0.002516*L7)*5751*COS(Q7+2*P7) - (1-0.002516*L7)^2*4950*COS(2*R7-2*Q7-P7)  +4130*COS(2*R7+P7-2*S7) -(1-0.002516*L7)*3958*COS(4*R7-Q7-P7) +3258*COS(3*R7-P7) +(1 - 0.002516*L7)*2616*COS(2*R7+Q7+P7) -(1 - 0.002516*L7)*1897*COS(4*R7-Q7-2*P7)  -(1-0.002516*L7)^2*2117*COS(2*Q7-P7) +(1-0.002516*L7)^2*2354*COS(2*R7+2*Q7-P7) -1423*COS(4*R7+P7) -1117*COS(4*P7) -(1-0.002516*L7)*1571*COS(4*R7-Q7)  -1739*COS(R7-2*P7) -4421*COS(2*P7-2*S7) +(1-0.002516*L7)^2*1165*COS(2*Q7+P7) +8752*COS(2*R7-P7-2*S7))/1000</f>
        <v>372003.09731646</v>
      </c>
      <c r="AV7" s="54" t="n">
        <f aca="false">ATAN(0.99664719*TAN($A$10*input!$E$2))</f>
        <v>0.871010436227447</v>
      </c>
      <c r="AW7" s="54" t="n">
        <f aca="false">COS(AV7)</f>
        <v>0.644053912545845</v>
      </c>
      <c r="AX7" s="54" t="n">
        <f aca="false">0.99664719*SIN(AV7)</f>
        <v>0.762415269897027</v>
      </c>
      <c r="AY7" s="54" t="n">
        <f aca="false">6378.14/AU7</f>
        <v>0.0171453948798017</v>
      </c>
      <c r="AZ7" s="55" t="n">
        <f aca="false">M7-15*AH7</f>
        <v>-213.234980379752</v>
      </c>
      <c r="BA7" s="56" t="n">
        <f aca="false">COS($A$10*AG7)*SIN($A$10*AZ7)</f>
        <v>0.525915577864094</v>
      </c>
      <c r="BB7" s="56" t="n">
        <f aca="false">COS($A$10*AG7)*COS($A$10*AZ7)-AW7*AY7</f>
        <v>-0.813655899026577</v>
      </c>
      <c r="BC7" s="56" t="n">
        <f aca="false">SIN($A$10*AG7)-AX7*AY7</f>
        <v>-0.294540613950251</v>
      </c>
      <c r="BD7" s="57" t="n">
        <f aca="false">SQRT(BA7^2+BB7^2+BC7^2)</f>
        <v>1.01260914983377</v>
      </c>
      <c r="BE7" s="58" t="n">
        <f aca="false">AU7*BD7</f>
        <v>376693.740109148</v>
      </c>
    </row>
    <row r="8" customFormat="false" ht="15" hidden="false" customHeight="false" outlineLevel="0" collapsed="false">
      <c r="A8" s="21" t="str">
        <f aca="false">IF(AND(MOD($A$5,4)=0,$A$5&lt;&gt;1700,$A$5&lt;&gt;1800,$A$5&lt;&gt;1900,$A$5&lt;&gt;2100,$A$5&lt;&gt;2200),"leap year","common year")</f>
        <v>common year</v>
      </c>
      <c r="D8" s="41" t="n">
        <f aca="false">K8-INT(275*E8/9)+IF($A$8="common year",2,1)*INT((E8+9)/12)+30</f>
        <v>7</v>
      </c>
      <c r="E8" s="41" t="n">
        <f aca="false">IF(K8&lt;32,1,INT(9*(IF($A$8="common year",2,1)+K8)/275+0.98))</f>
        <v>1</v>
      </c>
      <c r="F8" s="42" t="n">
        <f aca="false">AM8</f>
        <v>-36.9346790092056</v>
      </c>
      <c r="G8" s="60" t="n">
        <f aca="false">F8+1.02/(TAN($A$10*(F8+10.3/(F8+5.11)))*60)</f>
        <v>-36.957028401764</v>
      </c>
      <c r="H8" s="43" t="n">
        <f aca="false">100*(1+COS($A$10*AQ8))/2</f>
        <v>22.9691557264081</v>
      </c>
      <c r="I8" s="43" t="n">
        <f aca="false">IF(AI8&gt;180,AT8-180,AT8+180)</f>
        <v>300.10699553417</v>
      </c>
      <c r="J8" s="61" t="n">
        <f aca="false">$J$2+K7</f>
        <v>2459586.5</v>
      </c>
      <c r="K8" s="21" t="n">
        <v>7</v>
      </c>
      <c r="L8" s="62" t="n">
        <f aca="false">(J8-2451545)/36525</f>
        <v>0.220164271047228</v>
      </c>
      <c r="M8" s="63" t="n">
        <f aca="false">MOD(280.46061837+360.98564736629*(J8-2451545)+0.000387933*L8^2-L8^3/38710000+$B$7,360)</f>
        <v>121.543933194596</v>
      </c>
      <c r="N8" s="30" t="n">
        <f aca="false">0.606433+1336.855225*L8 - INT(0.606433+1336.855225*L8)</f>
        <v>0.934189107802865</v>
      </c>
      <c r="O8" s="35" t="n">
        <f aca="false">22640*SIN(P8)-4586*SIN(P8-2*R8)+2370*SIN(2*R8)+769*SIN(2*P8)-668*SIN(Q8)-412*SIN(2*S8)-212*SIN(2*P8-2*R8)-206*SIN(P8+Q8-2*R8)+192*SIN(P8+2*R8)-165*SIN(Q8-2*R8)-125*SIN(R8)-110*SIN(P8+Q8)+148*SIN(P8-Q8)-55*SIN(2*S8-2*R8)</f>
        <v>26506.3058053065</v>
      </c>
      <c r="P8" s="32" t="n">
        <f aca="false">2*PI()*(0.374897+1325.55241*L8 - INT(0.374897+1325.55241*L8))</f>
        <v>1.34571429818888</v>
      </c>
      <c r="Q8" s="36" t="n">
        <f aca="false">2*PI()*(0.993133+99.997361*L8 - INT(0.993133+99.997361*L8))</f>
        <v>0.0564172939719262</v>
      </c>
      <c r="R8" s="36" t="n">
        <f aca="false">2*PI()*(0.827361+1236.853086*L8 - INT(0.827361+1236.853086*L8))</f>
        <v>0.868456040504631</v>
      </c>
      <c r="S8" s="36" t="n">
        <f aca="false">2*PI()*(0.259086+1342.227825*L8 - INT(0.259086+1342.227825*L8))</f>
        <v>4.83614681063864</v>
      </c>
      <c r="T8" s="36" t="n">
        <f aca="false">S8+(O8+412*SIN(2*S8)+541*SIN(Q8))/206264.8062</f>
        <v>4.96431153961096</v>
      </c>
      <c r="U8" s="36" t="n">
        <f aca="false">S8-2*R8</f>
        <v>3.09923472962938</v>
      </c>
      <c r="V8" s="34" t="n">
        <f aca="false">-526*SIN(U8)+44*SIN(P8+U8)-31*SIN(-P8+U8)-23*SIN(Q8+U8)+11*SIN(-Q8+U8)-25*SIN(-2*P8+S8)+21*SIN(-P8+S8)</f>
        <v>-121.957654622027</v>
      </c>
      <c r="W8" s="36" t="n">
        <f aca="false">2*PI()*(N8+O8/1296000-INT(N8+O8/1296000))</f>
        <v>5.99818947317503</v>
      </c>
      <c r="X8" s="35" t="n">
        <f aca="false">W8*180/PI()</f>
        <v>343.670941532728</v>
      </c>
      <c r="Y8" s="36" t="n">
        <f aca="false">(18520*SIN(T8)+V8)/206264.8062</f>
        <v>-0.087544617351856</v>
      </c>
      <c r="Z8" s="36" t="n">
        <f aca="false">Y8*180/PI()</f>
        <v>-5.0159370933491</v>
      </c>
      <c r="AA8" s="36" t="n">
        <f aca="false">COS(Y8)*COS(W8)</f>
        <v>0.955987715292885</v>
      </c>
      <c r="AB8" s="36" t="n">
        <f aca="false">COS(Y8)*SIN(W8)</f>
        <v>-0.280076752796851</v>
      </c>
      <c r="AC8" s="36" t="n">
        <f aca="false">SIN(Y8)</f>
        <v>-0.0874328356617927</v>
      </c>
      <c r="AD8" s="36" t="n">
        <f aca="false">COS($A$10*(23.4393-46.815*L8/3600))*AB8-SIN($A$10*(23.4393-46.815*L8/3600))*AC8</f>
        <v>-0.222196157487667</v>
      </c>
      <c r="AE8" s="36" t="n">
        <f aca="false">SIN($A$10*(23.4393-46.815*L8/3600))*AB8+COS($A$10*(23.4393-46.815*L8/3600))*AC8</f>
        <v>-0.19161512415988</v>
      </c>
      <c r="AF8" s="36" t="n">
        <f aca="false">SQRT(1-AE8*AE8)</f>
        <v>0.981470144320852</v>
      </c>
      <c r="AG8" s="35" t="n">
        <f aca="false">ATAN(AE8/AF8)/$A$10</f>
        <v>-11.0470560208907</v>
      </c>
      <c r="AH8" s="36" t="n">
        <f aca="false">IF(24*ATAN(AD8/(AA8+AF8))/PI()&gt;0,24*ATAN(AD8/(AA8+AF8))/PI(),24*ATAN(AD8/(AA8+AF8))/PI()+24)</f>
        <v>23.1276869036968</v>
      </c>
      <c r="AI8" s="63" t="n">
        <f aca="false">IF(M8-15*AH8&gt;0,M8-15*AH8,360+M8-15*AH8)</f>
        <v>134.628629639144</v>
      </c>
      <c r="AJ8" s="32" t="n">
        <f aca="false">0.950724+0.051818*COS(P8)+0.009531*COS(2*R8-P8)+0.007843*COS(2*R8)+0.002824*COS(2*P8)+0.000857*COS(2*R8+P8)+0.000533*COS(2*R8-Q8)*(1-0.002495*(J8-2415020)/36525)+0.000401*COS(2*R8-Q8-P8)*(1-0.002495*(J8-2415020)/36525)+0.00032*COS(P8-Q8)*(1-0.002495*(J8-2415020)/36525)-0.000271*COS(R8)</f>
        <v>0.966637963315234</v>
      </c>
      <c r="AK8" s="36" t="n">
        <f aca="false">ASIN(COS($A$10*$B$5)*COS($A$10*AG8)*COS($A$10*AI8)+SIN($A$10*$B$5)*SIN($A$10*AG8))/$A$10</f>
        <v>-36.1557456354192</v>
      </c>
      <c r="AL8" s="32" t="n">
        <f aca="false">ASIN((0.9983271+0.0016764*COS($A$10*2*$B$5))*COS($A$10*AK8)*SIN($A$10*AJ8))/$A$10</f>
        <v>0.778933373786355</v>
      </c>
      <c r="AM8" s="32" t="n">
        <f aca="false">AK8-AL8</f>
        <v>-36.9346790092056</v>
      </c>
      <c r="AN8" s="35" t="n">
        <f aca="false"> MOD(280.4664567 + 360007.6982779*L8/10 + 0.03032028*L8^2/100 + L8^3/49931000,360)</f>
        <v>286.549717671578</v>
      </c>
      <c r="AO8" s="32" t="n">
        <f aca="false"> AN8 + (1.9146 - 0.004817*L8 - 0.000014*L8^2)*SIN(Q8)+ (0.019993 - 0.000101*L8)*SIN(2*Q8)+ 0.00029*SIN(3*Q8)</f>
        <v>286.659914555098</v>
      </c>
      <c r="AP8" s="32" t="n">
        <f aca="false">ACOS(COS(W8-$A$10*AO8)*COS(Y8))/$A$10</f>
        <v>57.1533446940395</v>
      </c>
      <c r="AQ8" s="34" t="n">
        <f aca="false">180 - AP8 -0.1468*(1-0.0549*SIN(Q8))*SIN($A$10*AP8)/(1-0.0167*SIN($A$10*AO8))</f>
        <v>122.725642791615</v>
      </c>
      <c r="AR8" s="64" t="n">
        <f aca="false">SIN($A$10*AI8)</f>
        <v>0.71167510424833</v>
      </c>
      <c r="AS8" s="64" t="n">
        <f aca="false">COS($A$10*AI8)*SIN($A$10*$B$5) - TAN($A$10*AG8)*COS($A$10*$B$5)</f>
        <v>-0.412659726865864</v>
      </c>
      <c r="AT8" s="24" t="n">
        <f aca="false">IF(OR(AND(AR8*AS8&gt;0), AND(AR8&lt;0,AS8&gt;0)), MOD(ATAN2(AS8,AR8)/$A$10+360,360),  ATAN2(AS8,AR8)/$A$10)</f>
        <v>120.10699553417</v>
      </c>
      <c r="AU8" s="39" t="n">
        <f aca="false"> 385000.56 + (-20905355*COS(P8) - 3699111*COS(2*R8-P8) - 2955968*COS(2*R8) - 569925*COS(2*P8) + (1-0.002516*L8)*48888*COS(Q8) - 3149*COS(2*S8)  +246158*COS(2*R8-2*P8) -(1 - 0.002516*L8)*152138*COS(2*R8-Q8-P8) -170733*COS(2*R8+P8) -(1 - 0.002516*L8)*204586*COS(2*R8-Q8) -(1 - 0.002516*L8)*129620*COS(Q8-P8)  + 108743*COS(R8) +(1-0.002516*L8)*104755*COS(Q8+P8) +10321*COS(2*R8-2*S8) +79661*COS(P8-2*S8) -34782*COS(4*R8-P8) -23210*COS(3*P8)  -21636*COS(4*R8-2*P8) +(1 - 0.002516*L8)*24208*COS(2*R8+Q8-P8) +(1 - 0.002516*L8)*30824*COS(2*R8+Q8) -8379*COS(R8-P8) -(1 - 0.002516*L8)*16675*COS(R8+Q8)  -(1 - 0.002516*L8)*12831*COS(2*R8-Q8+P8) -10445*COS(2*R8+2*P8) -11650*COS(4*R8) +14403*COS(2*R8-3*P8) -(1-0.002516*L8)*7003*COS(Q8-2*P8)  + (1 - 0.002516*L8)*10056*COS(2*R8-Q8-2*P8) +6322*COS(R8+P8) -(1 - 0.002516*L8)*(1-0.002516*L8)*9884*COS(2*R8-2*Q8) +(1-0.002516*L8)*5751*COS(Q8+2*P8) - (1-0.002516*L8)^2*4950*COS(2*R8-2*Q8-P8)  +4130*COS(2*R8+P8-2*S8) -(1-0.002516*L8)*3958*COS(4*R8-Q8-P8) +3258*COS(3*R8-P8) +(1 - 0.002516*L8)*2616*COS(2*R8+Q8+P8) -(1 - 0.002516*L8)*1897*COS(4*R8-Q8-2*P8)  -(1-0.002516*L8)^2*2117*COS(2*Q8-P8) +(1-0.002516*L8)^2*2354*COS(2*R8+2*Q8-P8) -1423*COS(4*R8+P8) -1117*COS(4*P8) -(1-0.002516*L8)*1571*COS(4*R8-Q8)  -1739*COS(R8-2*P8) -4421*COS(2*P8-2*S8) +(1-0.002516*L8)^2*1165*COS(2*Q8+P8) +8752*COS(2*R8-P8-2*S8))/1000</f>
        <v>378198.746404514</v>
      </c>
      <c r="AV8" s="54" t="n">
        <f aca="false">ATAN(0.99664719*TAN($A$10*input!$E$2))</f>
        <v>0.871010436227447</v>
      </c>
      <c r="AW8" s="54" t="n">
        <f aca="false">COS(AV8)</f>
        <v>0.644053912545845</v>
      </c>
      <c r="AX8" s="54" t="n">
        <f aca="false">0.99664719*SIN(AV8)</f>
        <v>0.762415269897027</v>
      </c>
      <c r="AY8" s="54" t="n">
        <f aca="false">6378.14/AU8</f>
        <v>0.0168645191467083</v>
      </c>
      <c r="AZ8" s="55" t="n">
        <f aca="false">M8-15*AH8</f>
        <v>-225.371370360856</v>
      </c>
      <c r="BA8" s="56" t="n">
        <f aca="false">COS($A$10*AG8)*SIN($A$10*AZ8)</f>
        <v>0.698487867276166</v>
      </c>
      <c r="BB8" s="56" t="n">
        <f aca="false">COS($A$10*AG8)*COS($A$10*AZ8)-AW8*AY8</f>
        <v>-0.70035302530225</v>
      </c>
      <c r="BC8" s="56" t="n">
        <f aca="false">SIN($A$10*AG8)-AX8*AY8</f>
        <v>-0.204472891076801</v>
      </c>
      <c r="BD8" s="57" t="n">
        <f aca="false">SQRT(BA8^2+BB8^2+BC8^2)</f>
        <v>1.01004397130389</v>
      </c>
      <c r="BE8" s="58" t="n">
        <f aca="false">AU8*BD8</f>
        <v>381997.363760567</v>
      </c>
    </row>
    <row r="9" customFormat="false" ht="15" hidden="false" customHeight="false" outlineLevel="0" collapsed="false">
      <c r="A9" s="22"/>
      <c r="D9" s="41" t="n">
        <f aca="false">K9-INT(275*E9/9)+IF($A$8="common year",2,1)*INT((E9+9)/12)+30</f>
        <v>8</v>
      </c>
      <c r="E9" s="41" t="n">
        <f aca="false">IF(K9&lt;32,1,INT(9*(IF($A$8="common year",2,1)+K9)/275+0.98))</f>
        <v>1</v>
      </c>
      <c r="F9" s="42" t="n">
        <f aca="false">AM9</f>
        <v>-25.9799997434254</v>
      </c>
      <c r="G9" s="60" t="n">
        <f aca="false">F9+1.02/(TAN($A$10*(F9+10.3/(F9+5.11)))*60)</f>
        <v>-26.014135951395</v>
      </c>
      <c r="H9" s="43" t="n">
        <f aca="false">100*(1+COS($A$10*AQ9))/2</f>
        <v>32.543671135866</v>
      </c>
      <c r="I9" s="43" t="n">
        <f aca="false">IF(AI9&gt;180,AT9-180,AT9+180)</f>
        <v>293.379762001343</v>
      </c>
      <c r="J9" s="61" t="n">
        <f aca="false">$J$2+K8</f>
        <v>2459587.5</v>
      </c>
      <c r="K9" s="21" t="n">
        <v>8</v>
      </c>
      <c r="L9" s="62" t="n">
        <f aca="false">(J9-2451545)/36525</f>
        <v>0.220191649555099</v>
      </c>
      <c r="M9" s="63" t="n">
        <f aca="false">MOD(280.46061837+360.98564736629*(J9-2451545)+0.000387933*L9^2-L9^3/38710000+$B$7,360)</f>
        <v>122.529580565635</v>
      </c>
      <c r="N9" s="30" t="n">
        <f aca="false">0.606433+1336.855225*L9 - INT(0.606433+1336.855225*L9)</f>
        <v>0.970790209103313</v>
      </c>
      <c r="O9" s="35" t="n">
        <f aca="false">22640*SIN(P9)-4586*SIN(P9-2*R9)+2370*SIN(2*R9)+769*SIN(2*P9)-668*SIN(Q9)-412*SIN(2*S9)-212*SIN(2*P9-2*R9)-206*SIN(P9+Q9-2*R9)+192*SIN(P9+2*R9)-165*SIN(Q9-2*R9)-125*SIN(R9)-110*SIN(P9+Q9)+148*SIN(P9-Q9)-55*SIN(2*S9-2*R9)</f>
        <v>27201.905170376</v>
      </c>
      <c r="P9" s="32" t="n">
        <f aca="false">2*PI()*(0.374897+1325.55241*L9 - INT(0.374897+1325.55241*L9))</f>
        <v>1.57374144196434</v>
      </c>
      <c r="Q9" s="36" t="n">
        <f aca="false">2*PI()*(0.993133+99.997361*L9 - INT(0.993133+99.997361*L9))</f>
        <v>0.0736192638388888</v>
      </c>
      <c r="R9" s="36" t="n">
        <f aca="false">2*PI()*(0.827361+1236.853086*L9 - INT(0.827361+1236.853086*L9))</f>
        <v>1.0812247506233</v>
      </c>
      <c r="S9" s="36" t="n">
        <f aca="false">2*PI()*(0.259086+1342.227825*L9 - INT(0.259086+1342.227825*L9))</f>
        <v>5.06704252997929</v>
      </c>
      <c r="T9" s="36" t="n">
        <f aca="false">S9+(O9+412*SIN(2*S9)+541*SIN(Q9))/206264.8062</f>
        <v>5.1978130611543</v>
      </c>
      <c r="U9" s="36" t="n">
        <f aca="false">S9-2*R9</f>
        <v>2.9045930287327</v>
      </c>
      <c r="V9" s="34" t="n">
        <f aca="false">-526*SIN(U9)+44*SIN(P9+U9)-31*SIN(-P9+U9)-23*SIN(Q9+U9)+11*SIN(-Q9+U9)-25*SIN(-2*P9+S9)+21*SIN(-P9+S9)</f>
        <v>-227.518612868402</v>
      </c>
      <c r="W9" s="36" t="n">
        <f aca="false">2*PI()*(N9+O9/1296000-INT(N9+O9/1296000))</f>
        <v>6.23153333598016</v>
      </c>
      <c r="X9" s="35" t="n">
        <f aca="false">W9*180/PI()</f>
        <v>357.040560046742</v>
      </c>
      <c r="Y9" s="36" t="n">
        <f aca="false">(18520*SIN(T9)+V9)/206264.8062</f>
        <v>-0.0805180288093576</v>
      </c>
      <c r="Z9" s="36" t="n">
        <f aca="false">Y9*180/PI()</f>
        <v>-4.61334322548896</v>
      </c>
      <c r="AA9" s="36" t="n">
        <f aca="false">COS(Y9)*COS(W9)</f>
        <v>0.995430828775255</v>
      </c>
      <c r="AB9" s="36" t="n">
        <f aca="false">COS(Y9)*SIN(W9)</f>
        <v>-0.0514617380127222</v>
      </c>
      <c r="AC9" s="36" t="n">
        <f aca="false">SIN(Y9)</f>
        <v>-0.0804310552244516</v>
      </c>
      <c r="AD9" s="36" t="n">
        <f aca="false">COS($A$10*(23.4393-46.815*L9/3600))*AB9-SIN($A$10*(23.4393-46.815*L9/3600))*AC9</f>
        <v>-0.0152262814178832</v>
      </c>
      <c r="AE9" s="36" t="n">
        <f aca="false">SIN($A$10*(23.4393-46.815*L9/3600))*AB9+COS($A$10*(23.4393-46.815*L9/3600))*AC9</f>
        <v>-0.0942635957196217</v>
      </c>
      <c r="AF9" s="36" t="n">
        <f aca="false">SQRT(1-AE9*AE9)</f>
        <v>0.995547273876036</v>
      </c>
      <c r="AG9" s="35" t="n">
        <f aca="false">ATAN(AE9/AF9)/$A$10</f>
        <v>-5.40893675347001</v>
      </c>
      <c r="AH9" s="36" t="n">
        <f aca="false">IF(24*ATAN(AD9/(AA9+AF9))/PI()&gt;0,24*ATAN(AD9/(AA9+AF9))/PI(),24*ATAN(AD9/(AA9+AF9))/PI()+24)</f>
        <v>23.9415774819765</v>
      </c>
      <c r="AI9" s="63" t="n">
        <f aca="false">IF(M9-15*AH9&gt;0,M9-15*AH9,360+M9-15*AH9)</f>
        <v>123.405918335987</v>
      </c>
      <c r="AJ9" s="32" t="n">
        <f aca="false">0.950724+0.051818*COS(P9)+0.009531*COS(2*R9-P9)+0.007843*COS(2*R9)+0.002824*COS(2*P9)+0.000857*COS(2*R9+P9)+0.000533*COS(2*R9-Q9)*(1-0.002495*(J9-2415020)/36525)+0.000401*COS(2*R9-Q9-P9)*(1-0.002495*(J9-2415020)/36525)+0.00032*COS(P9-Q9)*(1-0.002495*(J9-2415020)/36525)-0.000271*COS(R9)</f>
        <v>0.950569630119443</v>
      </c>
      <c r="AK9" s="36" t="n">
        <f aca="false">ASIN(COS($A$10*$B$5)*COS($A$10*AG9)*COS($A$10*AI9)+SIN($A$10*$B$5)*SIN($A$10*AG9))/$A$10</f>
        <v>-25.1210392361082</v>
      </c>
      <c r="AL9" s="32" t="n">
        <f aca="false">ASIN((0.9983271+0.0016764*COS($A$10*2*$B$5))*COS($A$10*AK9)*SIN($A$10*AJ9))/$A$10</f>
        <v>0.858960507317172</v>
      </c>
      <c r="AM9" s="32" t="n">
        <f aca="false">AK9-AL9</f>
        <v>-25.9799997434254</v>
      </c>
      <c r="AN9" s="35" t="n">
        <f aca="false"> MOD(280.4664567 + 360007.6982779*L9/10 + 0.03032028*L9^2/100 + L9^3/49931000,360)</f>
        <v>287.535365035335</v>
      </c>
      <c r="AO9" s="32" t="n">
        <f aca="false"> AN9 + (1.9146 - 0.004817*L9 - 0.000014*L9^2)*SIN(Q9)+ (0.019993 - 0.000101*L9)*SIN(2*Q9)+ 0.00029*SIN(3*Q9)</f>
        <v>287.679104508136</v>
      </c>
      <c r="AP9" s="32" t="n">
        <f aca="false">ACOS(COS(W9-$A$10*AO9)*COS(Y9))/$A$10</f>
        <v>69.4313551554304</v>
      </c>
      <c r="AQ9" s="34" t="n">
        <f aca="false">180 - AP9 -0.1468*(1-0.0549*SIN(Q9))*SIN($A$10*AP9)/(1-0.0167*SIN($A$10*AO9))</f>
        <v>110.433901989725</v>
      </c>
      <c r="AR9" s="64" t="n">
        <f aca="false">SIN($A$10*AI9)</f>
        <v>0.834790997204852</v>
      </c>
      <c r="AS9" s="64" t="n">
        <f aca="false">COS($A$10*AI9)*SIN($A$10*$B$5) - TAN($A$10*AG9)*COS($A$10*$B$5)</f>
        <v>-0.360896294387119</v>
      </c>
      <c r="AT9" s="24" t="n">
        <f aca="false">IF(OR(AND(AR9*AS9&gt;0), AND(AR9&lt;0,AS9&gt;0)), MOD(ATAN2(AS9,AR9)/$A$10+360,360),  ATAN2(AS9,AR9)/$A$10)</f>
        <v>113.379762001343</v>
      </c>
      <c r="AU9" s="39" t="n">
        <f aca="false"> 385000.56 + (-20905355*COS(P9) - 3699111*COS(2*R9-P9) - 2955968*COS(2*R9) - 569925*COS(2*P9) + (1-0.002516*L9)*48888*COS(Q9) - 3149*COS(2*S9)  +246158*COS(2*R9-2*P9) -(1 - 0.002516*L9)*152138*COS(2*R9-Q9-P9) -170733*COS(2*R9+P9) -(1 - 0.002516*L9)*204586*COS(2*R9-Q9) -(1 - 0.002516*L9)*129620*COS(Q9-P9)  + 108743*COS(R9) +(1-0.002516*L9)*104755*COS(Q9+P9) +10321*COS(2*R9-2*S9) +79661*COS(P9-2*S9) -34782*COS(4*R9-P9) -23210*COS(3*P9)  -21636*COS(4*R9-2*P9) +(1 - 0.002516*L9)*24208*COS(2*R9+Q9-P9) +(1 - 0.002516*L9)*30824*COS(2*R9+Q9) -8379*COS(R9-P9) -(1 - 0.002516*L9)*16675*COS(R9+Q9)  -(1 - 0.002516*L9)*12831*COS(2*R9-Q9+P9) -10445*COS(2*R9+2*P9) -11650*COS(4*R9) +14403*COS(2*R9-3*P9) -(1-0.002516*L9)*7003*COS(Q9-2*P9)  + (1 - 0.002516*L9)*10056*COS(2*R9-Q9-2*P9) +6322*COS(R9+P9) -(1 - 0.002516*L9)*(1-0.002516*L9)*9884*COS(2*R9-2*Q9) +(1-0.002516*L9)*5751*COS(Q9+2*P9) - (1-0.002516*L9)^2*4950*COS(2*R9-2*Q9-P9)  +4130*COS(2*R9+P9-2*S9) -(1-0.002516*L9)*3958*COS(4*R9-Q9-P9) +3258*COS(3*R9-P9) +(1 - 0.002516*L9)*2616*COS(2*R9+Q9+P9) -(1 - 0.002516*L9)*1897*COS(4*R9-Q9-2*P9)  -(1-0.002516*L9)^2*2117*COS(2*Q9-P9) +(1-0.002516*L9)^2*2354*COS(2*R9+2*Q9-P9) -1423*COS(4*R9+P9) -1117*COS(4*P9) -(1-0.002516*L9)*1571*COS(4*R9-Q9)  -1739*COS(R9-2*P9) -4421*COS(2*P9-2*S9) +(1-0.002516*L9)^2*1165*COS(2*Q9+P9) +8752*COS(2*R9-P9-2*S9))/1000</f>
        <v>384483.215702744</v>
      </c>
      <c r="AV9" s="54" t="n">
        <f aca="false">ATAN(0.99664719*TAN($A$10*input!$E$2))</f>
        <v>0.871010436227447</v>
      </c>
      <c r="AW9" s="54" t="n">
        <f aca="false">COS(AV9)</f>
        <v>0.644053912545845</v>
      </c>
      <c r="AX9" s="54" t="n">
        <f aca="false">0.99664719*SIN(AV9)</f>
        <v>0.762415269897027</v>
      </c>
      <c r="AY9" s="54" t="n">
        <f aca="false">6378.14/AU9</f>
        <v>0.0165888645837043</v>
      </c>
      <c r="AZ9" s="55" t="n">
        <f aca="false">M9-15*AH9</f>
        <v>-236.594081664013</v>
      </c>
      <c r="BA9" s="56" t="n">
        <f aca="false">COS($A$10*AG9)*SIN($A$10*AZ9)</f>
        <v>0.831073901523549</v>
      </c>
      <c r="BB9" s="56" t="n">
        <f aca="false">COS($A$10*AG9)*COS($A$10*AZ9)-AW9*AY9</f>
        <v>-0.558799571497593</v>
      </c>
      <c r="BC9" s="56" t="n">
        <f aca="false">SIN($A$10*AG9)-AX9*AY9</f>
        <v>-0.106911199388492</v>
      </c>
      <c r="BD9" s="57" t="n">
        <f aca="false">SQRT(BA9^2+BB9^2+BC9^2)</f>
        <v>1.00715976659821</v>
      </c>
      <c r="BE9" s="58" t="n">
        <f aca="false">AU9*BD9</f>
        <v>387236.025788104</v>
      </c>
    </row>
    <row r="10" customFormat="false" ht="15" hidden="false" customHeight="false" outlineLevel="0" collapsed="false">
      <c r="A10" s="68" t="n">
        <f aca="false">PI()/180</f>
        <v>0.0174532925199433</v>
      </c>
      <c r="D10" s="41" t="n">
        <f aca="false">K10-INT(275*E10/9)+IF($A$8="common year",2,1)*INT((E10+9)/12)+30</f>
        <v>9</v>
      </c>
      <c r="E10" s="41" t="n">
        <f aca="false">IF(K10&lt;32,1,INT(9*(IF($A$8="common year",2,1)+K10)/275+0.98))</f>
        <v>1</v>
      </c>
      <c r="F10" s="42" t="n">
        <f aca="false">AM10</f>
        <v>-15.1169421701476</v>
      </c>
      <c r="G10" s="60" t="n">
        <f aca="false">F10+1.02/(TAN($A$10*(F10+10.3/(F10+5.11)))*60)</f>
        <v>-15.1756621951529</v>
      </c>
      <c r="H10" s="43" t="n">
        <f aca="false">100*(1+COS($A$10*AQ10))/2</f>
        <v>42.5368601584167</v>
      </c>
      <c r="I10" s="43" t="n">
        <f aca="false">IF(AI10&gt;180,AT10-180,AT10+180)</f>
        <v>288.02723817552</v>
      </c>
      <c r="J10" s="61" t="n">
        <f aca="false">$J$2+K9</f>
        <v>2459588.5</v>
      </c>
      <c r="K10" s="21" t="n">
        <v>9</v>
      </c>
      <c r="L10" s="62" t="n">
        <f aca="false">(J10-2451545)/36525</f>
        <v>0.220219028062971</v>
      </c>
      <c r="M10" s="63" t="n">
        <f aca="false">MOD(280.46061837+360.98564736629*(J10-2451545)+0.000387933*L10^2-L10^3/38710000+$B$7,360)</f>
        <v>123.515227936208</v>
      </c>
      <c r="N10" s="30" t="n">
        <f aca="false">0.606433+1336.855225*L10 - INT(0.606433+1336.855225*L10)</f>
        <v>0.00739131040381835</v>
      </c>
      <c r="O10" s="35" t="n">
        <f aca="false">22640*SIN(P10)-4586*SIN(P10-2*R10)+2370*SIN(2*R10)+769*SIN(2*P10)-668*SIN(Q10)-412*SIN(2*S10)-212*SIN(2*P10-2*R10)-206*SIN(P10+Q10-2*R10)+192*SIN(P10+2*R10)-165*SIN(Q10-2*R10)-125*SIN(R10)-110*SIN(P10+Q10)+148*SIN(P10-Q10)-55*SIN(2*S10-2*R10)</f>
        <v>26242.9428368524</v>
      </c>
      <c r="P10" s="32" t="n">
        <f aca="false">2*PI()*(0.374897+1325.55241*L10 - INT(0.374897+1325.55241*L10))</f>
        <v>1.80176858574015</v>
      </c>
      <c r="Q10" s="36" t="n">
        <f aca="false">2*PI()*(0.993133+99.997361*L10 - INT(0.993133+99.997361*L10))</f>
        <v>0.090821233705896</v>
      </c>
      <c r="R10" s="36" t="n">
        <f aca="false">2*PI()*(0.827361+1236.853086*L10 - INT(0.827361+1236.853086*L10))</f>
        <v>1.29399346074232</v>
      </c>
      <c r="S10" s="36" t="n">
        <f aca="false">2*PI()*(0.259086+1342.227825*L10 - INT(0.259086+1342.227825*L10))</f>
        <v>5.29793824932029</v>
      </c>
      <c r="T10" s="36" t="n">
        <f aca="false">S10+(O10+412*SIN(2*S10)+541*SIN(Q10))/206264.8062</f>
        <v>5.4235655169242</v>
      </c>
      <c r="U10" s="36" t="n">
        <f aca="false">S10-2*R10</f>
        <v>2.70995132783565</v>
      </c>
      <c r="V10" s="34" t="n">
        <f aca="false">-526*SIN(U10)+44*SIN(P10+U10)-31*SIN(-P10+U10)-23*SIN(Q10+U10)+11*SIN(-Q10+U10)-25*SIN(-2*P10+S10)+21*SIN(-P10+S10)</f>
        <v>-321.914706569055</v>
      </c>
      <c r="W10" s="36" t="n">
        <f aca="false">2*PI()*(N10+O10/1296000-INT(N10+O10/1296000))</f>
        <v>0.17367035012889</v>
      </c>
      <c r="X10" s="35" t="n">
        <f aca="false">W10*180/PI()</f>
        <v>9.95057808894471</v>
      </c>
      <c r="Y10" s="36" t="n">
        <f aca="false">(18520*SIN(T10)+V10)/206264.8062</f>
        <v>-0.0695831930475827</v>
      </c>
      <c r="Z10" s="36" t="n">
        <f aca="false">Y10*180/PI()</f>
        <v>-3.98682328667054</v>
      </c>
      <c r="AA10" s="36" t="n">
        <f aca="false">COS(Y10)*COS(W10)</f>
        <v>0.982573640131684</v>
      </c>
      <c r="AB10" s="36" t="n">
        <f aca="false">COS(Y10)*SIN(W10)</f>
        <v>0.172380481290747</v>
      </c>
      <c r="AC10" s="36" t="n">
        <f aca="false">SIN(Y10)</f>
        <v>-0.0695270550817586</v>
      </c>
      <c r="AD10" s="36" t="n">
        <f aca="false">COS($A$10*(23.4393-46.815*L10/3600))*AB10-SIN($A$10*(23.4393-46.815*L10/3600))*AC10</f>
        <v>0.185812511567918</v>
      </c>
      <c r="AE10" s="36" t="n">
        <f aca="false">SIN($A$10*(23.4393-46.815*L10/3600))*AB10+COS($A$10*(23.4393-46.815*L10/3600))*AC10</f>
        <v>0.00476993324834354</v>
      </c>
      <c r="AF10" s="36" t="n">
        <f aca="false">SQRT(1-AE10*AE10)</f>
        <v>0.999988623803694</v>
      </c>
      <c r="AG10" s="35" t="n">
        <f aca="false">ATAN(AE10/AF10)/$A$10</f>
        <v>0.273298080054201</v>
      </c>
      <c r="AH10" s="36" t="n">
        <f aca="false">IF(24*ATAN(AD10/(AA10+AF10))/PI()&gt;0,24*ATAN(AD10/(AA10+AF10))/PI(),24*ATAN(AD10/(AA10+AF10))/PI()+24)</f>
        <v>0.713908702166909</v>
      </c>
      <c r="AI10" s="63" t="n">
        <f aca="false">IF(M10-15*AH10&gt;0,M10-15*AH10,360+M10-15*AH10)</f>
        <v>112.806597403705</v>
      </c>
      <c r="AJ10" s="32" t="n">
        <f aca="false">0.950724+0.051818*COS(P10)+0.009531*COS(2*R10-P10)+0.007843*COS(2*R10)+0.002824*COS(2*P10)+0.000857*COS(2*R10+P10)+0.000533*COS(2*R10-Q10)*(1-0.002495*(J10-2415020)/36525)+0.000401*COS(2*R10-Q10-P10)*(1-0.002495*(J10-2415020)/36525)+0.00032*COS(P10-Q10)*(1-0.002495*(J10-2415020)/36525)-0.000271*COS(R10)</f>
        <v>0.935887776806472</v>
      </c>
      <c r="AK10" s="36" t="n">
        <f aca="false">ASIN(COS($A$10*$B$5)*COS($A$10*AG10)*COS($A$10*AI10)+SIN($A$10*$B$5)*SIN($A$10*AG10))/$A$10</f>
        <v>-14.2114805470431</v>
      </c>
      <c r="AL10" s="32" t="n">
        <f aca="false">ASIN((0.9983271+0.0016764*COS($A$10*2*$B$5))*COS($A$10*AK10)*SIN($A$10*AJ10))/$A$10</f>
        <v>0.905461623104534</v>
      </c>
      <c r="AM10" s="32" t="n">
        <f aca="false">AK10-AL10</f>
        <v>-15.1169421701476</v>
      </c>
      <c r="AN10" s="35" t="n">
        <f aca="false"> MOD(280.4664567 + 360007.6982779*L10/10 + 0.03032028*L10^2/100 + L10^3/49931000,360)</f>
        <v>288.521012399095</v>
      </c>
      <c r="AO10" s="32" t="n">
        <f aca="false"> AN10 + (1.9146 - 0.004817*L10 - 0.000014*L10^2)*SIN(Q10)+ (0.019993 - 0.000101*L10)*SIN(2*Q10)+ 0.00029*SIN(3*Q10)</f>
        <v>288.698249172948</v>
      </c>
      <c r="AP10" s="32" t="n">
        <f aca="false">ACOS(COS(W10-$A$10*AO10)*COS(Y10))/$A$10</f>
        <v>81.2736631183317</v>
      </c>
      <c r="AQ10" s="34" t="n">
        <f aca="false">180 - AP10 -0.1468*(1-0.0549*SIN(Q10))*SIN($A$10*AP10)/(1-0.0167*SIN($A$10*AO10))</f>
        <v>98.5842069840357</v>
      </c>
      <c r="AR10" s="64" t="n">
        <f aca="false">SIN($A$10*AI10)</f>
        <v>0.92181852444604</v>
      </c>
      <c r="AS10" s="64" t="n">
        <f aca="false">COS($A$10*AI10)*SIN($A$10*$B$5) - TAN($A$10*AG10)*COS($A$10*$B$5)</f>
        <v>-0.300001563561378</v>
      </c>
      <c r="AT10" s="24" t="n">
        <f aca="false">IF(OR(AND(AR10*AS10&gt;0), AND(AR10&lt;0,AS10&gt;0)), MOD(ATAN2(AS10,AR10)/$A$10+360,360),  ATAN2(AS10,AR10)/$A$10)</f>
        <v>108.02723817552</v>
      </c>
      <c r="AU10" s="39" t="n">
        <f aca="false"> 385000.56 + (-20905355*COS(P10) - 3699111*COS(2*R10-P10) - 2955968*COS(2*R10) - 569925*COS(2*P10) + (1-0.002516*L10)*48888*COS(Q10) - 3149*COS(2*S10)  +246158*COS(2*R10-2*P10) -(1 - 0.002516*L10)*152138*COS(2*R10-Q10-P10) -170733*COS(2*R10+P10) -(1 - 0.002516*L10)*204586*COS(2*R10-Q10) -(1 - 0.002516*L10)*129620*COS(Q10-P10)  + 108743*COS(R10) +(1-0.002516*L10)*104755*COS(Q10+P10) +10321*COS(2*R10-2*S10) +79661*COS(P10-2*S10) -34782*COS(4*R10-P10) -23210*COS(3*P10)  -21636*COS(4*R10-2*P10) +(1 - 0.002516*L10)*24208*COS(2*R10+Q10-P10) +(1 - 0.002516*L10)*30824*COS(2*R10+Q10) -8379*COS(R10-P10) -(1 - 0.002516*L10)*16675*COS(R10+Q10)  -(1 - 0.002516*L10)*12831*COS(2*R10-Q10+P10) -10445*COS(2*R10+2*P10) -11650*COS(4*R10) +14403*COS(2*R10-3*P10) -(1-0.002516*L10)*7003*COS(Q10-2*P10)  + (1 - 0.002516*L10)*10056*COS(2*R10-Q10-2*P10) +6322*COS(R10+P10) -(1 - 0.002516*L10)*(1-0.002516*L10)*9884*COS(2*R10-2*Q10) +(1-0.002516*L10)*5751*COS(Q10+2*P10) - (1-0.002516*L10)^2*4950*COS(2*R10-2*Q10-P10)  +4130*COS(2*R10+P10-2*S10) -(1-0.002516*L10)*3958*COS(4*R10-Q10-P10) +3258*COS(3*R10-P10) +(1 - 0.002516*L10)*2616*COS(2*R10+Q10+P10) -(1 - 0.002516*L10)*1897*COS(4*R10-Q10-2*P10)  -(1-0.002516*L10)^2*2117*COS(2*Q10-P10) +(1-0.002516*L10)^2*2354*COS(2*R10+2*Q10-P10) -1423*COS(4*R10+P10) -1117*COS(4*P10) -(1-0.002516*L10)*1571*COS(4*R10-Q10)  -1739*COS(R10-2*P10) -4421*COS(2*P10-2*S10) +(1-0.002516*L10)^2*1165*COS(2*Q10+P10) +8752*COS(2*R10-P10-2*S10))/1000</f>
        <v>390396.226734294</v>
      </c>
      <c r="AV10" s="54" t="n">
        <f aca="false">ATAN(0.99664719*TAN($A$10*input!$E$2))</f>
        <v>0.871010436227447</v>
      </c>
      <c r="AW10" s="54" t="n">
        <f aca="false">COS(AV10)</f>
        <v>0.644053912545845</v>
      </c>
      <c r="AX10" s="54" t="n">
        <f aca="false">0.99664719*SIN(AV10)</f>
        <v>0.762415269897027</v>
      </c>
      <c r="AY10" s="54" t="n">
        <f aca="false">6378.14/AU10</f>
        <v>0.0163376066755404</v>
      </c>
      <c r="AZ10" s="55" t="n">
        <f aca="false">M10-15*AH10</f>
        <v>112.806597403705</v>
      </c>
      <c r="BA10" s="56" t="n">
        <f aca="false">COS($A$10*AG10)*SIN($A$10*AZ10)</f>
        <v>0.921808037657548</v>
      </c>
      <c r="BB10" s="56" t="n">
        <f aca="false">COS($A$10*AG10)*COS($A$10*AZ10)-AW10*AY10</f>
        <v>-0.398139622961601</v>
      </c>
      <c r="BC10" s="56" t="n">
        <f aca="false">SIN($A$10*AG10)-AX10*AY10</f>
        <v>-0.00768610755466009</v>
      </c>
      <c r="BD10" s="57" t="n">
        <f aca="false">SQRT(BA10^2+BB10^2+BC10^2)</f>
        <v>1.00414356240102</v>
      </c>
      <c r="BE10" s="58" t="n">
        <f aca="false">AU10*BD10</f>
        <v>392013.85786089</v>
      </c>
    </row>
    <row r="11" customFormat="false" ht="15" hidden="false" customHeight="false" outlineLevel="0" collapsed="false">
      <c r="A11" s="21" t="s">
        <v>67</v>
      </c>
      <c r="D11" s="41" t="n">
        <f aca="false">K11-INT(275*E11/9)+IF($A$8="common year",2,1)*INT((E11+9)/12)+30</f>
        <v>10</v>
      </c>
      <c r="E11" s="41" t="n">
        <f aca="false">IF(K11&lt;32,1,INT(9*(IF($A$8="common year",2,1)+K11)/275+0.98))</f>
        <v>1</v>
      </c>
      <c r="F11" s="42" t="n">
        <f aca="false">AM11</f>
        <v>-4.45574674509801</v>
      </c>
      <c r="G11" s="60" t="n">
        <f aca="false">F11+1.02/(TAN($A$10*(F11+10.3/(F11+5.11)))*60)</f>
        <v>-4.3705725199186</v>
      </c>
      <c r="H11" s="43" t="n">
        <f aca="false">100*(1+COS($A$10*AQ11))/2</f>
        <v>52.514664411741</v>
      </c>
      <c r="I11" s="43" t="n">
        <f aca="false">IF(AI11&gt;180,AT11-180,AT11+180)</f>
        <v>283.335006105549</v>
      </c>
      <c r="J11" s="61" t="n">
        <f aca="false">$J$2+K10</f>
        <v>2459589.5</v>
      </c>
      <c r="K11" s="21" t="n">
        <v>10</v>
      </c>
      <c r="L11" s="62" t="n">
        <f aca="false">(J11-2451545)/36525</f>
        <v>0.220246406570842</v>
      </c>
      <c r="M11" s="63" t="n">
        <f aca="false">MOD(280.46061837+360.98564736629*(J11-2451545)+0.000387933*L11^2-L11^3/38710000+$B$7,360)</f>
        <v>124.500875307247</v>
      </c>
      <c r="N11" s="30" t="n">
        <f aca="false">0.606433+1336.855225*L11 - INT(0.606433+1336.855225*L11)</f>
        <v>0.0439924117042665</v>
      </c>
      <c r="O11" s="35" t="n">
        <f aca="false">22640*SIN(P11)-4586*SIN(P11-2*R11)+2370*SIN(2*R11)+769*SIN(2*P11)-668*SIN(Q11)-412*SIN(2*S11)-212*SIN(2*P11-2*R11)-206*SIN(P11+Q11-2*R11)+192*SIN(P11+2*R11)-165*SIN(Q11-2*R11)-125*SIN(R11)-110*SIN(P11+Q11)+148*SIN(P11-Q11)-55*SIN(2*S11-2*R11)</f>
        <v>23845.0115767401</v>
      </c>
      <c r="P11" s="32" t="n">
        <f aca="false">2*PI()*(0.374897+1325.55241*L11 - INT(0.374897+1325.55241*L11))</f>
        <v>2.02979572951597</v>
      </c>
      <c r="Q11" s="36" t="n">
        <f aca="false">2*PI()*(0.993133+99.997361*L11 - INT(0.993133+99.997361*L11))</f>
        <v>0.108023203572881</v>
      </c>
      <c r="R11" s="36" t="n">
        <f aca="false">2*PI()*(0.827361+1236.853086*L11 - INT(0.827361+1236.853086*L11))</f>
        <v>1.50676217086135</v>
      </c>
      <c r="S11" s="36" t="n">
        <f aca="false">2*PI()*(0.259086+1342.227825*L11 - INT(0.259086+1342.227825*L11))</f>
        <v>5.5288339686613</v>
      </c>
      <c r="T11" s="36" t="n">
        <f aca="false">S11+(O11+412*SIN(2*S11)+541*SIN(Q11))/206264.8062</f>
        <v>5.64272704123406</v>
      </c>
      <c r="U11" s="36" t="n">
        <f aca="false">S11-2*R11</f>
        <v>2.51530962693861</v>
      </c>
      <c r="V11" s="34" t="n">
        <f aca="false">-526*SIN(U11)+44*SIN(P11+U11)-31*SIN(-P11+U11)-23*SIN(Q11+U11)+11*SIN(-Q11+U11)-25*SIN(-2*P11+S11)+21*SIN(-P11+S11)</f>
        <v>-402.401973113456</v>
      </c>
      <c r="W11" s="36" t="n">
        <f aca="false">2*PI()*(N11+O11/1296000-INT(N11+O11/1296000))</f>
        <v>0.392016353233831</v>
      </c>
      <c r="X11" s="35" t="n">
        <f aca="false">W11*180/PI()</f>
        <v>22.4608825404082</v>
      </c>
      <c r="Y11" s="36" t="n">
        <f aca="false">(18520*SIN(T11)+V11)/206264.8062</f>
        <v>-0.0556045796274231</v>
      </c>
      <c r="Z11" s="36" t="n">
        <f aca="false">Y11*180/PI()</f>
        <v>-3.18590773425046</v>
      </c>
      <c r="AA11" s="36" t="n">
        <f aca="false">COS(Y11)*COS(W11)</f>
        <v>0.922712293167471</v>
      </c>
      <c r="AB11" s="36" t="n">
        <f aca="false">COS(Y11)*SIN(W11)</f>
        <v>0.381462108210754</v>
      </c>
      <c r="AC11" s="36" t="n">
        <f aca="false">SIN(Y11)</f>
        <v>-0.0555759303748807</v>
      </c>
      <c r="AD11" s="36" t="n">
        <f aca="false">COS($A$10*(23.4393-46.815*L11/3600))*AB11-SIN($A$10*(23.4393-46.815*L11/3600))*AC11</f>
        <v>0.372096497248386</v>
      </c>
      <c r="AE11" s="36" t="n">
        <f aca="false">SIN($A$10*(23.4393-46.815*L11/3600))*AB11+COS($A$10*(23.4393-46.815*L11/3600))*AC11</f>
        <v>0.100728450663693</v>
      </c>
      <c r="AF11" s="36" t="n">
        <f aca="false">SQRT(1-AE11*AE11)</f>
        <v>0.994913955690085</v>
      </c>
      <c r="AG11" s="35" t="n">
        <f aca="false">ATAN(AE11/AF11)/$A$10</f>
        <v>5.78111943704923</v>
      </c>
      <c r="AH11" s="36" t="n">
        <f aca="false">IF(24*ATAN(AD11/(AA11+AF11))/PI()&gt;0,24*ATAN(AD11/(AA11+AF11))/PI(),24*ATAN(AD11/(AA11+AF11))/PI()+24)</f>
        <v>1.46416254085125</v>
      </c>
      <c r="AI11" s="63" t="n">
        <f aca="false">IF(M11-15*AH11&gt;0,M11-15*AH11,360+M11-15*AH11)</f>
        <v>102.538437194478</v>
      </c>
      <c r="AJ11" s="32" t="n">
        <f aca="false">0.950724+0.051818*COS(P11)+0.009531*COS(2*R11-P11)+0.007843*COS(2*R11)+0.002824*COS(2*P11)+0.000857*COS(2*R11+P11)+0.000533*COS(2*R11-Q11)*(1-0.002495*(J11-2415020)/36525)+0.000401*COS(2*R11-Q11-P11)*(1-0.002495*(J11-2415020)/36525)+0.00032*COS(P11-Q11)*(1-0.002495*(J11-2415020)/36525)-0.000271*COS(R11)</f>
        <v>0.923442137390488</v>
      </c>
      <c r="AK11" s="36" t="n">
        <f aca="false">ASIN(COS($A$10*$B$5)*COS($A$10*AG11)*COS($A$10*AI11)+SIN($A$10*$B$5)*SIN($A$10*AG11))/$A$10</f>
        <v>-3.53587298902955</v>
      </c>
      <c r="AL11" s="32" t="n">
        <f aca="false">ASIN((0.9983271+0.0016764*COS($A$10*2*$B$5))*COS($A$10*AK11)*SIN($A$10*AJ11))/$A$10</f>
        <v>0.919873756068463</v>
      </c>
      <c r="AM11" s="32" t="n">
        <f aca="false">AK11-AL11</f>
        <v>-4.45574674509801</v>
      </c>
      <c r="AN11" s="35" t="n">
        <f aca="false"> MOD(280.4664567 + 360007.6982779*L11/10 + 0.03032028*L11^2/100 + L11^3/49931000,360)</f>
        <v>289.506659762856</v>
      </c>
      <c r="AO11" s="32" t="n">
        <f aca="false"> AN11 + (1.9146 - 0.004817*L11 - 0.000014*L11^2)*SIN(Q11)+ (0.019993 - 0.000101*L11)*SIN(2*Q11)+ 0.00029*SIN(3*Q11)</f>
        <v>289.717338001734</v>
      </c>
      <c r="AP11" s="32" t="n">
        <f aca="false">ACOS(COS(W11-$A$10*AO11)*COS(Y11))/$A$10</f>
        <v>92.7393010546123</v>
      </c>
      <c r="AQ11" s="34" t="n">
        <f aca="false">180 - AP11 -0.1468*(1-0.0549*SIN(Q11))*SIN($A$10*AP11)/(1-0.0167*SIN($A$10*AO11))</f>
        <v>87.1171906707567</v>
      </c>
      <c r="AR11" s="64" t="n">
        <f aca="false">SIN($A$10*AI11)</f>
        <v>0.976150587714345</v>
      </c>
      <c r="AS11" s="64" t="n">
        <f aca="false">COS($A$10*AI11)*SIN($A$10*$B$5) - TAN($A$10*AG11)*COS($A$10*$B$5)</f>
        <v>-0.231382039347475</v>
      </c>
      <c r="AT11" s="24" t="n">
        <f aca="false">IF(OR(AND(AR11*AS11&gt;0), AND(AR11&lt;0,AS11&gt;0)), MOD(ATAN2(AS11,AR11)/$A$10+360,360),  ATAN2(AS11,AR11)/$A$10)</f>
        <v>103.335006105549</v>
      </c>
      <c r="AU11" s="39" t="n">
        <f aca="false"> 385000.56 + (-20905355*COS(P11) - 3699111*COS(2*R11-P11) - 2955968*COS(2*R11) - 569925*COS(2*P11) + (1-0.002516*L11)*48888*COS(Q11) - 3149*COS(2*S11)  +246158*COS(2*R11-2*P11) -(1 - 0.002516*L11)*152138*COS(2*R11-Q11-P11) -170733*COS(2*R11+P11) -(1 - 0.002516*L11)*204586*COS(2*R11-Q11) -(1 - 0.002516*L11)*129620*COS(Q11-P11)  + 108743*COS(R11) +(1-0.002516*L11)*104755*COS(Q11+P11) +10321*COS(2*R11-2*S11) +79661*COS(P11-2*S11) -34782*COS(4*R11-P11) -23210*COS(3*P11)  -21636*COS(4*R11-2*P11) +(1 - 0.002516*L11)*24208*COS(2*R11+Q11-P11) +(1 - 0.002516*L11)*30824*COS(2*R11+Q11) -8379*COS(R11-P11) -(1 - 0.002516*L11)*16675*COS(R11+Q11)  -(1 - 0.002516*L11)*12831*COS(2*R11-Q11+P11) -10445*COS(2*R11+2*P11) -11650*COS(4*R11) +14403*COS(2*R11-3*P11) -(1-0.002516*L11)*7003*COS(Q11-2*P11)  + (1 - 0.002516*L11)*10056*COS(2*R11-Q11-2*P11) +6322*COS(R11+P11) -(1 - 0.002516*L11)*(1-0.002516*L11)*9884*COS(2*R11-2*Q11) +(1-0.002516*L11)*5751*COS(Q11+2*P11) - (1-0.002516*L11)^2*4950*COS(2*R11-2*Q11-P11)  +4130*COS(2*R11+P11-2*S11) -(1-0.002516*L11)*3958*COS(4*R11-Q11-P11) +3258*COS(3*R11-P11) +(1 - 0.002516*L11)*2616*COS(2*R11+Q11+P11) -(1 - 0.002516*L11)*1897*COS(4*R11-Q11-2*P11)  -(1-0.002516*L11)^2*2117*COS(2*Q11-P11) +(1-0.002516*L11)^2*2354*COS(2*R11+2*Q11-P11) -1423*COS(4*R11+P11) -1117*COS(4*P11) -(1-0.002516*L11)*1571*COS(4*R11-Q11)  -1739*COS(R11-2*P11) -4421*COS(2*P11-2*S11) +(1-0.002516*L11)^2*1165*COS(2*Q11+P11) +8752*COS(2*R11-P11-2*S11))/1000</f>
        <v>395578.138823575</v>
      </c>
      <c r="AV11" s="54" t="n">
        <f aca="false">ATAN(0.99664719*TAN($A$10*input!$E$2))</f>
        <v>0.871010436227447</v>
      </c>
      <c r="AW11" s="54" t="n">
        <f aca="false">COS(AV11)</f>
        <v>0.644053912545845</v>
      </c>
      <c r="AX11" s="54" t="n">
        <f aca="false">0.99664719*SIN(AV11)</f>
        <v>0.762415269897027</v>
      </c>
      <c r="AY11" s="54" t="n">
        <f aca="false">6378.14/AU11</f>
        <v>0.016123590699345</v>
      </c>
      <c r="AZ11" s="55" t="n">
        <f aca="false">M11-15*AH11</f>
        <v>102.538437194478</v>
      </c>
      <c r="BA11" s="56" t="n">
        <f aca="false">COS($A$10*AG11)*SIN($A$10*AZ11)</f>
        <v>0.97118584257208</v>
      </c>
      <c r="BB11" s="56" t="n">
        <f aca="false">COS($A$10*AG11)*COS($A$10*AZ11)-AW11*AY11</f>
        <v>-0.226374828159495</v>
      </c>
      <c r="BC11" s="56" t="n">
        <f aca="false">SIN($A$10*AG11)-AX11*AY11</f>
        <v>0.0884355789089429</v>
      </c>
      <c r="BD11" s="57" t="n">
        <f aca="false">SQRT(BA11^2+BB11^2+BC11^2)</f>
        <v>1.00113353517582</v>
      </c>
      <c r="BE11" s="58" t="n">
        <f aca="false">AU11*BD11</f>
        <v>396026.540558718</v>
      </c>
    </row>
    <row r="12" customFormat="false" ht="15" hidden="false" customHeight="false" outlineLevel="0" collapsed="false">
      <c r="A12" s="22"/>
      <c r="D12" s="41" t="n">
        <f aca="false">K12-INT(275*E12/9)+IF($A$8="common year",2,1)*INT((E12+9)/12)+30</f>
        <v>11</v>
      </c>
      <c r="E12" s="41" t="n">
        <f aca="false">IF(K12&lt;32,1,INT(9*(IF($A$8="common year",2,1)+K12)/275+0.98))</f>
        <v>1</v>
      </c>
      <c r="F12" s="42" t="n">
        <f aca="false">AM12</f>
        <v>5.97193203990928</v>
      </c>
      <c r="G12" s="60" t="n">
        <f aca="false">F12+1.02/(TAN($A$10*(F12+10.3/(F12+5.11)))*60)</f>
        <v>6.11238425298677</v>
      </c>
      <c r="H12" s="43" t="n">
        <f aca="false">100*(1+COS($A$10*AQ12))/2</f>
        <v>62.1340714331858</v>
      </c>
      <c r="I12" s="43" t="n">
        <f aca="false">IF(AI12&gt;180,AT12-180,AT12+180)</f>
        <v>278.84301302947</v>
      </c>
      <c r="J12" s="61" t="n">
        <f aca="false">$J$2+K11</f>
        <v>2459590.5</v>
      </c>
      <c r="K12" s="21" t="n">
        <v>11</v>
      </c>
      <c r="L12" s="62" t="n">
        <f aca="false">(J12-2451545)/36525</f>
        <v>0.220273785078713</v>
      </c>
      <c r="M12" s="63" t="n">
        <f aca="false">MOD(280.46061837+360.98564736629*(J12-2451545)+0.000387933*L12^2-L12^3/38710000+$B$7,360)</f>
        <v>125.486522678286</v>
      </c>
      <c r="N12" s="30" t="n">
        <f aca="false">0.606433+1336.855225*L12 - INT(0.606433+1336.855225*L12)</f>
        <v>0.0805935130047715</v>
      </c>
      <c r="O12" s="35" t="n">
        <f aca="false">22640*SIN(P12)-4586*SIN(P12-2*R12)+2370*SIN(2*R12)+769*SIN(2*P12)-668*SIN(Q12)-412*SIN(2*S12)-212*SIN(2*P12-2*R12)-206*SIN(P12+Q12-2*R12)+192*SIN(P12+2*R12)-165*SIN(Q12-2*R12)-125*SIN(R12)-110*SIN(P12+Q12)+148*SIN(P12-Q12)-55*SIN(2*S12-2*R12)</f>
        <v>20301.2140620684</v>
      </c>
      <c r="P12" s="32" t="n">
        <f aca="false">2*PI()*(0.374897+1325.55241*L12 - INT(0.374897+1325.55241*L12))</f>
        <v>2.25782287329143</v>
      </c>
      <c r="Q12" s="36" t="n">
        <f aca="false">2*PI()*(0.993133+99.997361*L12 - INT(0.993133+99.997361*L12))</f>
        <v>0.125225173439888</v>
      </c>
      <c r="R12" s="36" t="n">
        <f aca="false">2*PI()*(0.827361+1236.853086*L12 - INT(0.827361+1236.853086*L12))</f>
        <v>1.71953088098037</v>
      </c>
      <c r="S12" s="36" t="n">
        <f aca="false">2*PI()*(0.259086+1342.227825*L12 - INT(0.259086+1342.227825*L12))</f>
        <v>5.7597296880023</v>
      </c>
      <c r="T12" s="36" t="n">
        <f aca="false">S12+(O12+412*SIN(2*S12)+541*SIN(Q12))/206264.8062</f>
        <v>5.85675079818037</v>
      </c>
      <c r="U12" s="36" t="n">
        <f aca="false">S12-2*R12</f>
        <v>2.32066792604156</v>
      </c>
      <c r="V12" s="34" t="n">
        <f aca="false">-526*SIN(U12)+44*SIN(P12+U12)-31*SIN(-P12+U12)-23*SIN(Q12+U12)+11*SIN(-Q12+U12)-25*SIN(-2*P12+S12)+21*SIN(-P12+S12)</f>
        <v>-467.367297304393</v>
      </c>
      <c r="W12" s="36" t="n">
        <f aca="false">2*PI()*(N12+O12/1296000-INT(N12+O12/1296000))</f>
        <v>0.604807039969808</v>
      </c>
      <c r="X12" s="35" t="n">
        <f aca="false">W12*180/PI()</f>
        <v>34.6528908100701</v>
      </c>
      <c r="Y12" s="36" t="n">
        <f aca="false">(18520*SIN(T12)+V12)/206264.8062</f>
        <v>-0.0394044147564312</v>
      </c>
      <c r="Z12" s="36" t="n">
        <f aca="false">Y12*180/PI()</f>
        <v>-2.25770665972653</v>
      </c>
      <c r="AA12" s="36" t="n">
        <f aca="false">COS(Y12)*COS(W12)</f>
        <v>0.821973275352332</v>
      </c>
      <c r="AB12" s="36" t="n">
        <f aca="false">COS(Y12)*SIN(W12)</f>
        <v>0.568161975295645</v>
      </c>
      <c r="AC12" s="36" t="n">
        <f aca="false">SIN(Y12)</f>
        <v>-0.0393942182903738</v>
      </c>
      <c r="AD12" s="36" t="n">
        <f aca="false">COS($A$10*(23.4393-46.815*L12/3600))*AB12-SIN($A$10*(23.4393-46.815*L12/3600))*AC12</f>
        <v>0.536958002558236</v>
      </c>
      <c r="AE12" s="36" t="n">
        <f aca="false">SIN($A$10*(23.4393-46.815*L12/3600))*AB12+COS($A$10*(23.4393-46.815*L12/3600))*AC12</f>
        <v>0.189831604574234</v>
      </c>
      <c r="AF12" s="36" t="n">
        <f aca="false">SQRT(1-AE12*AE12)</f>
        <v>0.981816664100163</v>
      </c>
      <c r="AG12" s="35" t="n">
        <f aca="false">ATAN(AE12/AF12)/$A$10</f>
        <v>10.9429570004239</v>
      </c>
      <c r="AH12" s="36" t="n">
        <f aca="false">IF(24*ATAN(AD12/(AA12+AF12))/PI()&gt;0,24*ATAN(AD12/(AA12+AF12))/PI(),24*ATAN(AD12/(AA12+AF12))/PI()+24)</f>
        <v>2.21031806333381</v>
      </c>
      <c r="AI12" s="63" t="n">
        <f aca="false">IF(M12-15*AH12&gt;0,M12-15*AH12,360+M12-15*AH12)</f>
        <v>92.3317517282787</v>
      </c>
      <c r="AJ12" s="32" t="n">
        <f aca="false">0.950724+0.051818*COS(P12)+0.009531*COS(2*R12-P12)+0.007843*COS(2*R12)+0.002824*COS(2*P12)+0.000857*COS(2*R12+P12)+0.000533*COS(2*R12-Q12)*(1-0.002495*(J12-2415020)/36525)+0.000401*COS(2*R12-Q12-P12)*(1-0.002495*(J12-2415020)/36525)+0.00032*COS(P12-Q12)*(1-0.002495*(J12-2415020)/36525)-0.000271*COS(R12)</f>
        <v>0.913685397154861</v>
      </c>
      <c r="AK12" s="36" t="n">
        <f aca="false">ASIN(COS($A$10*$B$5)*COS($A$10*AG12)*COS($A$10*AI12)+SIN($A$10*$B$5)*SIN($A$10*AG12))/$A$10</f>
        <v>6.87726114895344</v>
      </c>
      <c r="AL12" s="32" t="n">
        <f aca="false">ASIN((0.9983271+0.0016764*COS($A$10*2*$B$5))*COS($A$10*AK12)*SIN($A$10*AJ12))/$A$10</f>
        <v>0.905329109044159</v>
      </c>
      <c r="AM12" s="32" t="n">
        <f aca="false">AK12-AL12</f>
        <v>5.97193203990928</v>
      </c>
      <c r="AN12" s="35" t="n">
        <f aca="false"> MOD(280.4664567 + 360007.6982779*L12/10 + 0.03032028*L12^2/100 + L12^3/49931000,360)</f>
        <v>290.492307126617</v>
      </c>
      <c r="AO12" s="32" t="n">
        <f aca="false"> AN12 + (1.9146 - 0.004817*L12 - 0.000014*L12^2)*SIN(Q12)+ (0.019993 - 0.000101*L12)*SIN(2*Q12)+ 0.00029*SIN(3*Q12)</f>
        <v>290.736360467495</v>
      </c>
      <c r="AP12" s="32" t="n">
        <f aca="false">ACOS(COS(W12-$A$10*AO12)*COS(Y12))/$A$10</f>
        <v>103.905510277038</v>
      </c>
      <c r="AQ12" s="34" t="n">
        <f aca="false">180 - AP12 -0.1468*(1-0.0549*SIN(Q12))*SIN($A$10*AP12)/(1-0.0167*SIN($A$10*AO12))</f>
        <v>75.9551453337569</v>
      </c>
      <c r="AR12" s="64" t="n">
        <f aca="false">SIN($A$10*AI12)</f>
        <v>0.999172001762053</v>
      </c>
      <c r="AS12" s="64" t="n">
        <f aca="false">COS($A$10*AI12)*SIN($A$10*$B$5) - TAN($A$10*AG12)*COS($A$10*$B$5)</f>
        <v>-0.155448161541107</v>
      </c>
      <c r="AT12" s="24" t="n">
        <f aca="false">IF(OR(AND(AR12*AS12&gt;0), AND(AR12&lt;0,AS12&gt;0)), MOD(ATAN2(AS12,AR12)/$A$10+360,360),  ATAN2(AS12,AR12)/$A$10)</f>
        <v>98.8430130294697</v>
      </c>
      <c r="AU12" s="39" t="n">
        <f aca="false"> 385000.56 + (-20905355*COS(P12) - 3699111*COS(2*R12-P12) - 2955968*COS(2*R12) - 569925*COS(2*P12) + (1-0.002516*L12)*48888*COS(Q12) - 3149*COS(2*S12)  +246158*COS(2*R12-2*P12) -(1 - 0.002516*L12)*152138*COS(2*R12-Q12-P12) -170733*COS(2*R12+P12) -(1 - 0.002516*L12)*204586*COS(2*R12-Q12) -(1 - 0.002516*L12)*129620*COS(Q12-P12)  + 108743*COS(R12) +(1-0.002516*L12)*104755*COS(Q12+P12) +10321*COS(2*R12-2*S12) +79661*COS(P12-2*S12) -34782*COS(4*R12-P12) -23210*COS(3*P12)  -21636*COS(4*R12-2*P12) +(1 - 0.002516*L12)*24208*COS(2*R12+Q12-P12) +(1 - 0.002516*L12)*30824*COS(2*R12+Q12) -8379*COS(R12-P12) -(1 - 0.002516*L12)*16675*COS(R12+Q12)  -(1 - 0.002516*L12)*12831*COS(2*R12-Q12+P12) -10445*COS(2*R12+2*P12) -11650*COS(4*R12) +14403*COS(2*R12-3*P12) -(1-0.002516*L12)*7003*COS(Q12-2*P12)  + (1 - 0.002516*L12)*10056*COS(2*R12-Q12-2*P12) +6322*COS(R12+P12) -(1 - 0.002516*L12)*(1-0.002516*L12)*9884*COS(2*R12-2*Q12) +(1-0.002516*L12)*5751*COS(Q12+2*P12) - (1-0.002516*L12)^2*4950*COS(2*R12-2*Q12-P12)  +4130*COS(2*R12+P12-2*S12) -(1-0.002516*L12)*3958*COS(4*R12-Q12-P12) +3258*COS(3*R12-P12) +(1 - 0.002516*L12)*2616*COS(2*R12+Q12+P12) -(1 - 0.002516*L12)*1897*COS(4*R12-Q12-2*P12)  -(1-0.002516*L12)^2*2117*COS(2*Q12-P12) +(1-0.002516*L12)^2*2354*COS(2*R12+2*Q12-P12) -1423*COS(4*R12+P12) -1117*COS(4*P12) -(1-0.002516*L12)*1571*COS(4*R12-Q12)  -1739*COS(R12-2*P12) -4421*COS(2*P12-2*S12) +(1-0.002516*L12)^2*1165*COS(2*Q12+P12) +8752*COS(2*R12-P12-2*S12))/1000</f>
        <v>399784.774086755</v>
      </c>
      <c r="AV12" s="54" t="n">
        <f aca="false">ATAN(0.99664719*TAN($A$10*input!$E$2))</f>
        <v>0.871010436227447</v>
      </c>
      <c r="AW12" s="54" t="n">
        <f aca="false">COS(AV12)</f>
        <v>0.644053912545845</v>
      </c>
      <c r="AX12" s="54" t="n">
        <f aca="false">0.99664719*SIN(AV12)</f>
        <v>0.762415269897027</v>
      </c>
      <c r="AY12" s="54" t="n">
        <f aca="false">6378.14/AU12</f>
        <v>0.0159539342501721</v>
      </c>
      <c r="AZ12" s="55" t="n">
        <f aca="false">M12-15*AH12</f>
        <v>92.3317517282787</v>
      </c>
      <c r="BA12" s="56" t="n">
        <f aca="false">COS($A$10*AG12)*SIN($A$10*AZ12)</f>
        <v>0.9810037216323</v>
      </c>
      <c r="BB12" s="56" t="n">
        <f aca="false">COS($A$10*AG12)*COS($A$10*AZ12)-AW12*AY12</f>
        <v>-0.0502209075412302</v>
      </c>
      <c r="BC12" s="56" t="n">
        <f aca="false">SIN($A$10*AG12)-AX12*AY12</f>
        <v>0.17766808148697</v>
      </c>
      <c r="BD12" s="57" t="n">
        <f aca="false">SQRT(BA12^2+BB12^2+BC12^2)</f>
        <v>0.998226621859961</v>
      </c>
      <c r="BE12" s="58" t="n">
        <f aca="false">AU12*BD12</f>
        <v>399075.804507669</v>
      </c>
    </row>
    <row r="13" customFormat="false" ht="15" hidden="false" customHeight="false" outlineLevel="0" collapsed="false">
      <c r="A13" s="22"/>
      <c r="D13" s="41" t="n">
        <f aca="false">K13-INT(275*E13/9)+IF($A$8="common year",2,1)*INT((E13+9)/12)+30</f>
        <v>12</v>
      </c>
      <c r="E13" s="41" t="n">
        <f aca="false">IF(K13&lt;32,1,INT(9*(IF($A$8="common year",2,1)+K13)/275+0.98))</f>
        <v>1</v>
      </c>
      <c r="F13" s="42" t="n">
        <f aca="false">AM13</f>
        <v>16.1589466163303</v>
      </c>
      <c r="G13" s="60" t="n">
        <f aca="false">F13+1.02/(TAN($A$10*(F13+10.3/(F13+5.11)))*60)</f>
        <v>16.2158152584534</v>
      </c>
      <c r="H13" s="43" t="n">
        <f aca="false">100*(1+COS($A$10*AQ13))/2</f>
        <v>71.1195034354641</v>
      </c>
      <c r="I13" s="43" t="n">
        <f aca="false">IF(AI13&gt;180,AT13-180,AT13+180)</f>
        <v>274.176490893609</v>
      </c>
      <c r="J13" s="61" t="n">
        <f aca="false">$J$2+K12</f>
        <v>2459591.5</v>
      </c>
      <c r="K13" s="21" t="n">
        <v>12</v>
      </c>
      <c r="L13" s="62" t="n">
        <f aca="false">(J13-2451545)/36525</f>
        <v>0.220301163586585</v>
      </c>
      <c r="M13" s="63" t="n">
        <f aca="false">MOD(280.46061837+360.98564736629*(J13-2451545)+0.000387933*L13^2-L13^3/38710000+$B$7,360)</f>
        <v>126.47217004979</v>
      </c>
      <c r="N13" s="30" t="n">
        <f aca="false">0.606433+1336.855225*L13 - INT(0.606433+1336.855225*L13)</f>
        <v>0.11719461430522</v>
      </c>
      <c r="O13" s="35" t="n">
        <f aca="false">22640*SIN(P13)-4586*SIN(P13-2*R13)+2370*SIN(2*R13)+769*SIN(2*P13)-668*SIN(Q13)-412*SIN(2*S13)-212*SIN(2*P13-2*R13)-206*SIN(P13+Q13-2*R13)+192*SIN(P13+2*R13)-165*SIN(Q13-2*R13)-125*SIN(R13)-110*SIN(P13+Q13)+148*SIN(P13-Q13)-55*SIN(2*S13-2*R13)</f>
        <v>15937.0290793288</v>
      </c>
      <c r="P13" s="32" t="n">
        <f aca="false">2*PI()*(0.374897+1325.55241*L13 - INT(0.374897+1325.55241*L13))</f>
        <v>2.48585001706725</v>
      </c>
      <c r="Q13" s="36" t="n">
        <f aca="false">2*PI()*(0.993133+99.997361*L13 - INT(0.993133+99.997361*L13))</f>
        <v>0.142427143306873</v>
      </c>
      <c r="R13" s="36" t="n">
        <f aca="false">2*PI()*(0.827361+1236.853086*L13 - INT(0.827361+1236.853086*L13))</f>
        <v>1.9322995910994</v>
      </c>
      <c r="S13" s="36" t="n">
        <f aca="false">2*PI()*(0.259086+1342.227825*L13 - INT(0.259086+1342.227825*L13))</f>
        <v>5.99062540734295</v>
      </c>
      <c r="T13" s="36" t="n">
        <f aca="false">S13+(O13+412*SIN(2*S13)+541*SIN(Q13))/206264.8062</f>
        <v>6.06715942647613</v>
      </c>
      <c r="U13" s="36" t="n">
        <f aca="false">S13-2*R13</f>
        <v>2.12602622514416</v>
      </c>
      <c r="V13" s="34" t="n">
        <f aca="false">-526*SIN(U13)+44*SIN(P13+U13)-31*SIN(-P13+U13)-23*SIN(Q13+U13)+11*SIN(-Q13+U13)-25*SIN(-2*P13+S13)+21*SIN(-P13+S13)</f>
        <v>-516.145374199505</v>
      </c>
      <c r="W13" s="36" t="n">
        <f aca="false">2*PI()*(N13+O13/1296000-INT(N13+O13/1296000))</f>
        <v>0.813620376022126</v>
      </c>
      <c r="X13" s="35" t="n">
        <f aca="false">W13*180/PI()</f>
        <v>46.6170136719149</v>
      </c>
      <c r="Y13" s="36" t="n">
        <f aca="false">(18520*SIN(T13)+V13)/206264.8062</f>
        <v>-0.0217482547048494</v>
      </c>
      <c r="Z13" s="36" t="n">
        <f aca="false">Y13*180/PI()</f>
        <v>-1.2460832063634</v>
      </c>
      <c r="AA13" s="36" t="n">
        <f aca="false">COS(Y13)*COS(W13)</f>
        <v>0.686709293942329</v>
      </c>
      <c r="AB13" s="36" t="n">
        <f aca="false">COS(Y13)*SIN(W13)</f>
        <v>0.726606794351609</v>
      </c>
      <c r="AC13" s="36" t="n">
        <f aca="false">SIN(Y13)</f>
        <v>-0.0217465403066155</v>
      </c>
      <c r="AD13" s="36" t="n">
        <f aca="false">COS($A$10*(23.4393-46.815*L13/3600))*AB13-SIN($A$10*(23.4393-46.815*L13/3600))*AC13</f>
        <v>0.675312388349463</v>
      </c>
      <c r="AE13" s="36" t="n">
        <f aca="false">SIN($A$10*(23.4393-46.815*L13/3600))*AB13+COS($A$10*(23.4393-46.815*L13/3600))*AC13</f>
        <v>0.269041862458191</v>
      </c>
      <c r="AF13" s="36" t="n">
        <f aca="false">SQRT(1-AE13*AE13)</f>
        <v>0.963128483767886</v>
      </c>
      <c r="AG13" s="35" t="n">
        <f aca="false">ATAN(AE13/AF13)/$A$10</f>
        <v>15.6072600477609</v>
      </c>
      <c r="AH13" s="36" t="n">
        <f aca="false">IF(24*ATAN(AD13/(AA13+AF13))/PI()&gt;0,24*ATAN(AD13/(AA13+AF13))/PI(),24*ATAN(AD13/(AA13+AF13))/PI()+24)</f>
        <v>2.96803871975576</v>
      </c>
      <c r="AI13" s="63" t="n">
        <f aca="false">IF(M13-15*AH13&gt;0,M13-15*AH13,360+M13-15*AH13)</f>
        <v>81.9515892534539</v>
      </c>
      <c r="AJ13" s="32" t="n">
        <f aca="false">0.950724+0.051818*COS(P13)+0.009531*COS(2*R13-P13)+0.007843*COS(2*R13)+0.002824*COS(2*P13)+0.000857*COS(2*R13+P13)+0.000533*COS(2*R13-Q13)*(1-0.002495*(J13-2415020)/36525)+0.000401*COS(2*R13-Q13-P13)*(1-0.002495*(J13-2415020)/36525)+0.00032*COS(P13-Q13)*(1-0.002495*(J13-2415020)/36525)-0.000271*COS(R13)</f>
        <v>0.906730895780725</v>
      </c>
      <c r="AK13" s="36" t="n">
        <f aca="false">ASIN(COS($A$10*$B$5)*COS($A$10*AG13)*COS($A$10*AI13)+SIN($A$10*$B$5)*SIN($A$10*AG13))/$A$10</f>
        <v>17.0242394381749</v>
      </c>
      <c r="AL13" s="32" t="n">
        <f aca="false">ASIN((0.9983271+0.0016764*COS($A$10*2*$B$5))*COS($A$10*AK13)*SIN($A$10*AJ13))/$A$10</f>
        <v>0.865292821844618</v>
      </c>
      <c r="AM13" s="32" t="n">
        <f aca="false">AK13-AL13</f>
        <v>16.1589466163303</v>
      </c>
      <c r="AN13" s="35" t="n">
        <f aca="false"> MOD(280.4664567 + 360007.6982779*L13/10 + 0.03032028*L13^2/100 + L13^3/49931000,360)</f>
        <v>291.477954490376</v>
      </c>
      <c r="AO13" s="32" t="n">
        <f aca="false"> AN13 + (1.9146 - 0.004817*L13 - 0.000014*L13^2)*SIN(Q13)+ (0.019993 - 0.000101*L13)*SIN(2*Q13)+ 0.00029*SIN(3*Q13)</f>
        <v>291.755306067951</v>
      </c>
      <c r="AP13" s="32" t="n">
        <f aca="false">ACOS(COS(W13-$A$10*AO13)*COS(Y13))/$A$10</f>
        <v>114.855429282639</v>
      </c>
      <c r="AQ13" s="34" t="n">
        <f aca="false">180 - AP13 -0.1468*(1-0.0549*SIN(Q13))*SIN($A$10*AP13)/(1-0.0167*SIN($A$10*AO13))</f>
        <v>65.0144252653478</v>
      </c>
      <c r="AR13" s="64" t="n">
        <f aca="false">SIN($A$10*AI13)</f>
        <v>0.990150124179031</v>
      </c>
      <c r="AS13" s="64" t="n">
        <f aca="false">COS($A$10*AI13)*SIN($A$10*$B$5) - TAN($A$10*AG13)*COS($A$10*$B$5)</f>
        <v>-0.0723036315009502</v>
      </c>
      <c r="AT13" s="24" t="n">
        <f aca="false">IF(OR(AND(AR13*AS13&gt;0), AND(AR13&lt;0,AS13&gt;0)), MOD(ATAN2(AS13,AR13)/$A$10+360,360),  ATAN2(AS13,AR13)/$A$10)</f>
        <v>94.1764908936089</v>
      </c>
      <c r="AU13" s="39" t="n">
        <f aca="false"> 385000.56 + (-20905355*COS(P13) - 3699111*COS(2*R13-P13) - 2955968*COS(2*R13) - 569925*COS(2*P13) + (1-0.002516*L13)*48888*COS(Q13) - 3149*COS(2*S13)  +246158*COS(2*R13-2*P13) -(1 - 0.002516*L13)*152138*COS(2*R13-Q13-P13) -170733*COS(2*R13+P13) -(1 - 0.002516*L13)*204586*COS(2*R13-Q13) -(1 - 0.002516*L13)*129620*COS(Q13-P13)  + 108743*COS(R13) +(1-0.002516*L13)*104755*COS(Q13+P13) +10321*COS(2*R13-2*S13) +79661*COS(P13-2*S13) -34782*COS(4*R13-P13) -23210*COS(3*P13)  -21636*COS(4*R13-2*P13) +(1 - 0.002516*L13)*24208*COS(2*R13+Q13-P13) +(1 - 0.002516*L13)*30824*COS(2*R13+Q13) -8379*COS(R13-P13) -(1 - 0.002516*L13)*16675*COS(R13+Q13)  -(1 - 0.002516*L13)*12831*COS(2*R13-Q13+P13) -10445*COS(2*R13+2*P13) -11650*COS(4*R13) +14403*COS(2*R13-3*P13) -(1-0.002516*L13)*7003*COS(Q13-2*P13)  + (1 - 0.002516*L13)*10056*COS(2*R13-Q13-2*P13) +6322*COS(R13+P13) -(1 - 0.002516*L13)*(1-0.002516*L13)*9884*COS(2*R13-2*Q13) +(1-0.002516*L13)*5751*COS(Q13+2*P13) - (1-0.002516*L13)^2*4950*COS(2*R13-2*Q13-P13)  +4130*COS(2*R13+P13-2*S13) -(1-0.002516*L13)*3958*COS(4*R13-Q13-P13) +3258*COS(3*R13-P13) +(1 - 0.002516*L13)*2616*COS(2*R13+Q13+P13) -(1 - 0.002516*L13)*1897*COS(4*R13-Q13-2*P13)  -(1-0.002516*L13)^2*2117*COS(2*Q13-P13) +(1-0.002516*L13)^2*2354*COS(2*R13+2*Q13-P13) -1423*COS(4*R13+P13) -1117*COS(4*P13) -(1-0.002516*L13)*1571*COS(4*R13-Q13)  -1739*COS(R13-2*P13) -4421*COS(2*P13-2*S13) +(1-0.002516*L13)^2*1165*COS(2*Q13+P13) +8752*COS(2*R13-P13-2*S13))/1000</f>
        <v>402885.378207332</v>
      </c>
      <c r="AV13" s="54" t="n">
        <f aca="false">ATAN(0.99664719*TAN($A$10*input!$E$2))</f>
        <v>0.871010436227447</v>
      </c>
      <c r="AW13" s="54" t="n">
        <f aca="false">COS(AV13)</f>
        <v>0.644053912545845</v>
      </c>
      <c r="AX13" s="54" t="n">
        <f aca="false">0.99664719*SIN(AV13)</f>
        <v>0.762415269897027</v>
      </c>
      <c r="AY13" s="54" t="n">
        <f aca="false">6378.14/AU13</f>
        <v>0.0158311528414856</v>
      </c>
      <c r="AZ13" s="55" t="n">
        <f aca="false">M13-15*AH13</f>
        <v>81.9515892534539</v>
      </c>
      <c r="BA13" s="56" t="n">
        <f aca="false">COS($A$10*AG13)*SIN($A$10*AZ13)</f>
        <v>0.953641787803135</v>
      </c>
      <c r="BB13" s="56" t="n">
        <f aca="false">COS($A$10*AG13)*COS($A$10*AZ13)-AW13*AY13</f>
        <v>0.124651267438375</v>
      </c>
      <c r="BC13" s="56" t="n">
        <f aca="false">SIN($A$10*AG13)-AX13*AY13</f>
        <v>0.256971949791769</v>
      </c>
      <c r="BD13" s="57" t="n">
        <f aca="false">SQRT(BA13^2+BB13^2+BC13^2)</f>
        <v>0.995492431361553</v>
      </c>
      <c r="BE13" s="58" t="n">
        <f aca="false">AU13*BD13</f>
        <v>401069.344711636</v>
      </c>
    </row>
    <row r="14" customFormat="false" ht="15" hidden="false" customHeight="false" outlineLevel="0" collapsed="false">
      <c r="A14" s="22"/>
      <c r="D14" s="41" t="n">
        <f aca="false">K14-INT(275*E14/9)+IF($A$8="common year",2,1)*INT((E14+9)/12)+30</f>
        <v>13</v>
      </c>
      <c r="E14" s="41" t="n">
        <f aca="false">IF(K14&lt;32,1,INT(9*(IF($A$8="common year",2,1)+K14)/275+0.98))</f>
        <v>1</v>
      </c>
      <c r="F14" s="42" t="n">
        <f aca="false">AM14</f>
        <v>26.0859260603727</v>
      </c>
      <c r="G14" s="60" t="n">
        <f aca="false">F14+1.02/(TAN($A$10*(F14+10.3/(F14+5.11)))*60)</f>
        <v>26.1201481932559</v>
      </c>
      <c r="H14" s="43" t="n">
        <f aca="false">100*(1+COS($A$10*AQ14))/2</f>
        <v>79.2370636566988</v>
      </c>
      <c r="I14" s="43" t="n">
        <f aca="false">IF(AI14&gt;180,AT14-180,AT14+180)</f>
        <v>268.93771391459</v>
      </c>
      <c r="J14" s="61" t="n">
        <f aca="false">$J$2+K13</f>
        <v>2459592.5</v>
      </c>
      <c r="K14" s="21" t="n">
        <v>13</v>
      </c>
      <c r="L14" s="62" t="n">
        <f aca="false">(J14-2451545)/36525</f>
        <v>0.220328542094456</v>
      </c>
      <c r="M14" s="63" t="n">
        <f aca="false">MOD(280.46061837+360.98564736629*(J14-2451545)+0.000387933*L14^2-L14^3/38710000+$B$7,360)</f>
        <v>127.457817420829</v>
      </c>
      <c r="N14" s="30" t="n">
        <f aca="false">0.606433+1336.855225*L14 - INT(0.606433+1336.855225*L14)</f>
        <v>0.153795715605725</v>
      </c>
      <c r="O14" s="35" t="n">
        <f aca="false">22640*SIN(P14)-4586*SIN(P14-2*R14)+2370*SIN(2*R14)+769*SIN(2*P14)-668*SIN(Q14)-412*SIN(2*S14)-212*SIN(2*P14-2*R14)-206*SIN(P14+Q14-2*R14)+192*SIN(P14+2*R14)-165*SIN(Q14-2*R14)-125*SIN(R14)-110*SIN(P14+Q14)+148*SIN(P14-Q14)-55*SIN(2*S14-2*R14)</f>
        <v>11074.4116230557</v>
      </c>
      <c r="P14" s="32" t="n">
        <f aca="false">2*PI()*(0.374897+1325.55241*L14 - INT(0.374897+1325.55241*L14))</f>
        <v>2.71387716084307</v>
      </c>
      <c r="Q14" s="36" t="n">
        <f aca="false">2*PI()*(0.993133+99.997361*L14 - INT(0.993133+99.997361*L14))</f>
        <v>0.15962911317388</v>
      </c>
      <c r="R14" s="36" t="n">
        <f aca="false">2*PI()*(0.827361+1236.853086*L14 - INT(0.827361+1236.853086*L14))</f>
        <v>2.14506830121842</v>
      </c>
      <c r="S14" s="36" t="n">
        <f aca="false">2*PI()*(0.259086+1342.227825*L14 - INT(0.259086+1342.227825*L14))</f>
        <v>6.22152112668395</v>
      </c>
      <c r="T14" s="36" t="n">
        <f aca="false">S14+(O14+412*SIN(2*S14)+541*SIN(Q14))/206264.8062</f>
        <v>6.27538257938466</v>
      </c>
      <c r="U14" s="36" t="n">
        <f aca="false">S14-2*R14</f>
        <v>1.93138452424712</v>
      </c>
      <c r="V14" s="34" t="n">
        <f aca="false">-526*SIN(U14)+44*SIN(P14+U14)-31*SIN(-P14+U14)-23*SIN(Q14+U14)+11*SIN(-Q14+U14)-25*SIN(-2*P14+S14)+21*SIN(-P14+S14)</f>
        <v>-548.737295994007</v>
      </c>
      <c r="W14" s="36" t="n">
        <f aca="false">2*PI()*(N14+O14/1296000-INT(N14+O14/1296000))</f>
        <v>1.02001724325202</v>
      </c>
      <c r="X14" s="35" t="n">
        <f aca="false">W14*180/PI()</f>
        <v>58.4426830689097</v>
      </c>
      <c r="Y14" s="36" t="n">
        <f aca="false">(18520*SIN(T14)+V14)/206264.8062</f>
        <v>-0.00336093374924667</v>
      </c>
      <c r="Z14" s="36" t="n">
        <f aca="false">Y14*180/PI()</f>
        <v>-0.192567319054914</v>
      </c>
      <c r="AA14" s="36" t="n">
        <f aca="false">COS(Y14)*COS(W14)</f>
        <v>0.523348302207887</v>
      </c>
      <c r="AB14" s="36" t="n">
        <f aca="false">COS(Y14)*SIN(W14)</f>
        <v>0.852112233654105</v>
      </c>
      <c r="AC14" s="36" t="n">
        <f aca="false">SIN(Y14)</f>
        <v>-0.00336092742180195</v>
      </c>
      <c r="AD14" s="36" t="n">
        <f aca="false">COS($A$10*(23.4393-46.815*L14/3600))*AB14-SIN($A$10*(23.4393-46.815*L14/3600))*AC14</f>
        <v>0.783151332023721</v>
      </c>
      <c r="AE14" s="36" t="n">
        <f aca="false">SIN($A$10*(23.4393-46.815*L14/3600))*AB14+COS($A$10*(23.4393-46.815*L14/3600))*AC14</f>
        <v>0.335828149096518</v>
      </c>
      <c r="AF14" s="36" t="n">
        <f aca="false">SQRT(1-AE14*AE14)</f>
        <v>0.941923274091052</v>
      </c>
      <c r="AG14" s="35" t="n">
        <f aca="false">ATAN(AE14/AF14)/$A$10</f>
        <v>19.6229051248746</v>
      </c>
      <c r="AH14" s="36" t="n">
        <f aca="false">IF(24*ATAN(AD14/(AA14+AF14))/PI()&gt;0,24*ATAN(AD14/(AA14+AF14))/PI(),24*ATAN(AD14/(AA14+AF14))/PI()+24)</f>
        <v>3.74978652475704</v>
      </c>
      <c r="AI14" s="63" t="n">
        <f aca="false">IF(M14-15*AH14&gt;0,M14-15*AH14,360+M14-15*AH14)</f>
        <v>71.2110195494735</v>
      </c>
      <c r="AJ14" s="32" t="n">
        <f aca="false">0.950724+0.051818*COS(P14)+0.009531*COS(2*R14-P14)+0.007843*COS(2*R14)+0.002824*COS(2*P14)+0.000857*COS(2*R14+P14)+0.000533*COS(2*R14-Q14)*(1-0.002495*(J14-2415020)/36525)+0.000401*COS(2*R14-Q14-P14)*(1-0.002495*(J14-2415020)/36525)+0.00032*COS(P14-Q14)*(1-0.002495*(J14-2415020)/36525)-0.000271*COS(R14)</f>
        <v>0.902454800060133</v>
      </c>
      <c r="AK14" s="36" t="n">
        <f aca="false">ASIN(COS($A$10*$B$5)*COS($A$10*AG14)*COS($A$10*AI14)+SIN($A$10*$B$5)*SIN($A$10*AG14))/$A$10</f>
        <v>26.8892221199414</v>
      </c>
      <c r="AL14" s="32" t="n">
        <f aca="false">ASIN((0.9983271+0.0016764*COS($A$10*2*$B$5))*COS($A$10*AK14)*SIN($A$10*AJ14))/$A$10</f>
        <v>0.803296059568719</v>
      </c>
      <c r="AM14" s="32" t="n">
        <f aca="false">AK14-AL14</f>
        <v>26.0859260603727</v>
      </c>
      <c r="AN14" s="35" t="n">
        <f aca="false"> MOD(280.4664567 + 360007.6982779*L14/10 + 0.03032028*L14^2/100 + L14^3/49931000,360)</f>
        <v>292.463601854137</v>
      </c>
      <c r="AO14" s="32" t="n">
        <f aca="false"> AN14 + (1.9146 - 0.004817*L14 - 0.000014*L14^2)*SIN(Q14)+ (0.019993 - 0.000101*L14)*SIN(2*Q14)+ 0.00029*SIN(3*Q14)</f>
        <v>292.774164329444</v>
      </c>
      <c r="AP14" s="32" t="n">
        <f aca="false">ACOS(COS(W14-$A$10*AO14)*COS(Y14))/$A$10</f>
        <v>125.668286477184</v>
      </c>
      <c r="AQ14" s="34" t="n">
        <f aca="false">180 - AP14 -0.1468*(1-0.0549*SIN(Q14))*SIN($A$10*AP14)/(1-0.0167*SIN($A$10*AO14))</f>
        <v>54.2152857518573</v>
      </c>
      <c r="AR14" s="64" t="n">
        <f aca="false">SIN($A$10*AI14)</f>
        <v>0.94671122313696</v>
      </c>
      <c r="AS14" s="64" t="n">
        <f aca="false">COS($A$10*AI14)*SIN($A$10*$B$5) - TAN($A$10*AG14)*COS($A$10*$B$5)</f>
        <v>0.0175544065595536</v>
      </c>
      <c r="AT14" s="24" t="n">
        <f aca="false">IF(OR(AND(AR14*AS14&gt;0), AND(AR14&lt;0,AS14&gt;0)), MOD(ATAN2(AS14,AR14)/$A$10+360,360),  ATAN2(AS14,AR14)/$A$10)</f>
        <v>88.93771391459</v>
      </c>
      <c r="AU14" s="39" t="n">
        <f aca="false"> 385000.56 + (-20905355*COS(P14) - 3699111*COS(2*R14-P14) - 2955968*COS(2*R14) - 569925*COS(2*P14) + (1-0.002516*L14)*48888*COS(Q14) - 3149*COS(2*S14)  +246158*COS(2*R14-2*P14) -(1 - 0.002516*L14)*152138*COS(2*R14-Q14-P14) -170733*COS(2*R14+P14) -(1 - 0.002516*L14)*204586*COS(2*R14-Q14) -(1 - 0.002516*L14)*129620*COS(Q14-P14)  + 108743*COS(R14) +(1-0.002516*L14)*104755*COS(Q14+P14) +10321*COS(2*R14-2*S14) +79661*COS(P14-2*S14) -34782*COS(4*R14-P14) -23210*COS(3*P14)  -21636*COS(4*R14-2*P14) +(1 - 0.002516*L14)*24208*COS(2*R14+Q14-P14) +(1 - 0.002516*L14)*30824*COS(2*R14+Q14) -8379*COS(R14-P14) -(1 - 0.002516*L14)*16675*COS(R14+Q14)  -(1 - 0.002516*L14)*12831*COS(2*R14-Q14+P14) -10445*COS(2*R14+2*P14) -11650*COS(4*R14) +14403*COS(2*R14-3*P14) -(1-0.002516*L14)*7003*COS(Q14-2*P14)  + (1 - 0.002516*L14)*10056*COS(2*R14-Q14-2*P14) +6322*COS(R14+P14) -(1 - 0.002516*L14)*(1-0.002516*L14)*9884*COS(2*R14-2*Q14) +(1-0.002516*L14)*5751*COS(Q14+2*P14) - (1-0.002516*L14)^2*4950*COS(2*R14-2*Q14-P14)  +4130*COS(2*R14+P14-2*S14) -(1-0.002516*L14)*3958*COS(4*R14-Q14-P14) +3258*COS(3*R14-P14) +(1 - 0.002516*L14)*2616*COS(2*R14+Q14+P14) -(1 - 0.002516*L14)*1897*COS(4*R14-Q14-2*P14)  -(1-0.002516*L14)^2*2117*COS(2*Q14-P14) +(1-0.002516*L14)^2*2354*COS(2*R14+2*Q14-P14) -1423*COS(4*R14+P14) -1117*COS(4*P14) -(1-0.002516*L14)*1571*COS(4*R14-Q14)  -1739*COS(R14-2*P14) -4421*COS(2*P14-2*S14) +(1-0.002516*L14)^2*1165*COS(2*Q14+P14) +8752*COS(2*R14-P14-2*S14))/1000</f>
        <v>404850.223099845</v>
      </c>
      <c r="AV14" s="54" t="n">
        <f aca="false">ATAN(0.99664719*TAN($A$10*input!$E$2))</f>
        <v>0.871010436227447</v>
      </c>
      <c r="AW14" s="54" t="n">
        <f aca="false">COS(AV14)</f>
        <v>0.644053912545845</v>
      </c>
      <c r="AX14" s="54" t="n">
        <f aca="false">0.99664719*SIN(AV14)</f>
        <v>0.762415269897027</v>
      </c>
      <c r="AY14" s="54" t="n">
        <f aca="false">6378.14/AU14</f>
        <v>0.0157543200820394</v>
      </c>
      <c r="AZ14" s="55" t="n">
        <f aca="false">M14-15*AH14</f>
        <v>71.2110195494735</v>
      </c>
      <c r="BA14" s="56" t="n">
        <f aca="false">COS($A$10*AG14)*SIN($A$10*AZ14)</f>
        <v>0.89172933491591</v>
      </c>
      <c r="BB14" s="56" t="n">
        <f aca="false">COS($A$10*AG14)*COS($A$10*AZ14)-AW14*AY14</f>
        <v>0.293231428899747</v>
      </c>
      <c r="BC14" s="56" t="n">
        <f aca="false">SIN($A$10*AG14)-AX14*AY14</f>
        <v>0.323816814899125</v>
      </c>
      <c r="BD14" s="57" t="n">
        <f aca="false">SQRT(BA14^2+BB14^2+BC14^2)</f>
        <v>0.992987012631874</v>
      </c>
      <c r="BE14" s="58" t="n">
        <f aca="false">AU14*BD14</f>
        <v>402011.013599262</v>
      </c>
    </row>
    <row r="15" customFormat="false" ht="15" hidden="false" customHeight="false" outlineLevel="0" collapsed="false">
      <c r="A15" s="21" t="s">
        <v>1</v>
      </c>
      <c r="D15" s="41" t="n">
        <f aca="false">K15-INT(275*E15/9)+IF($A$8="common year",2,1)*INT((E15+9)/12)+30</f>
        <v>14</v>
      </c>
      <c r="E15" s="41" t="n">
        <f aca="false">IF(K15&lt;32,1,INT(9*(IF($A$8="common year",2,1)+K15)/275+0.98))</f>
        <v>1</v>
      </c>
      <c r="F15" s="42" t="n">
        <f aca="false">AM15</f>
        <v>35.6840835465233</v>
      </c>
      <c r="G15" s="60" t="n">
        <f aca="false">F15+1.02/(TAN($A$10*(F15+10.3/(F15+5.11)))*60)</f>
        <v>35.707536594634</v>
      </c>
      <c r="H15" s="43" t="n">
        <f aca="false">100*(1+COS($A$10*AQ15))/2</f>
        <v>86.2751437605051</v>
      </c>
      <c r="I15" s="43" t="n">
        <f aca="false">IF(AI15&gt;180,AT15-180,AT15+180)</f>
        <v>262.597256484658</v>
      </c>
      <c r="J15" s="61" t="n">
        <f aca="false">$J$2+K14</f>
        <v>2459593.5</v>
      </c>
      <c r="K15" s="21" t="n">
        <v>14</v>
      </c>
      <c r="L15" s="62" t="n">
        <f aca="false">(J15-2451545)/36525</f>
        <v>0.220355920602327</v>
      </c>
      <c r="M15" s="63" t="n">
        <f aca="false">MOD(280.46061837+360.98564736629*(J15-2451545)+0.000387933*L15^2-L15^3/38710000+$B$7,360)</f>
        <v>128.443464791402</v>
      </c>
      <c r="N15" s="30" t="n">
        <f aca="false">0.606433+1336.855225*L15 - INT(0.606433+1336.855225*L15)</f>
        <v>0.19039681690623</v>
      </c>
      <c r="O15" s="35" t="n">
        <f aca="false">22640*SIN(P15)-4586*SIN(P15-2*R15)+2370*SIN(2*R15)+769*SIN(2*P15)-668*SIN(Q15)-412*SIN(2*S15)-212*SIN(2*P15-2*R15)-206*SIN(P15+Q15-2*R15)+192*SIN(P15+2*R15)-165*SIN(Q15-2*R15)-125*SIN(R15)-110*SIN(P15+Q15)+148*SIN(P15-Q15)-55*SIN(2*S15-2*R15)</f>
        <v>6007.89169912209</v>
      </c>
      <c r="P15" s="32" t="n">
        <f aca="false">2*PI()*(0.374897+1325.55241*L15 - INT(0.374897+1325.55241*L15))</f>
        <v>2.94190430461889</v>
      </c>
      <c r="Q15" s="36" t="n">
        <f aca="false">2*PI()*(0.993133+99.997361*L15 - INT(0.993133+99.997361*L15))</f>
        <v>0.176831083040865</v>
      </c>
      <c r="R15" s="36" t="n">
        <f aca="false">2*PI()*(0.827361+1236.853086*L15 - INT(0.827361+1236.853086*L15))</f>
        <v>2.35783701133744</v>
      </c>
      <c r="S15" s="36" t="n">
        <f aca="false">2*PI()*(0.259086+1342.227825*L15 - INT(0.259086+1342.227825*L15))</f>
        <v>0.169231538845372</v>
      </c>
      <c r="T15" s="36" t="n">
        <f aca="false">S15+(O15+412*SIN(2*S15)+541*SIN(Q15))/206264.8062</f>
        <v>0.199483229379589</v>
      </c>
      <c r="U15" s="36" t="n">
        <f aca="false">S15-2*R15</f>
        <v>-4.54644248382951</v>
      </c>
      <c r="V15" s="34" t="n">
        <f aca="false">-526*SIN(U15)+44*SIN(P15+U15)-31*SIN(-P15+U15)-23*SIN(Q15+U15)+11*SIN(-Q15+U15)-25*SIN(-2*P15+S15)+21*SIN(-P15+S15)</f>
        <v>-565.495085436627</v>
      </c>
      <c r="W15" s="36" t="n">
        <f aca="false">2*PI()*(N15+O15/1296000-INT(N15+O15/1296000))</f>
        <v>1.22542556342257</v>
      </c>
      <c r="X15" s="35" t="n">
        <f aca="false">W15*180/PI()</f>
        <v>70.2117128915543</v>
      </c>
      <c r="Y15" s="36" t="n">
        <f aca="false">(18520*SIN(T15)+V15)/206264.8062</f>
        <v>0.0150509467415599</v>
      </c>
      <c r="Z15" s="36" t="n">
        <f aca="false">Y15*180/PI()</f>
        <v>0.862355725967563</v>
      </c>
      <c r="AA15" s="36" t="n">
        <f aca="false">COS(Y15)*COS(W15)</f>
        <v>0.338507225493976</v>
      </c>
      <c r="AB15" s="36" t="n">
        <f aca="false">COS(Y15)*SIN(W15)</f>
        <v>0.940843421827175</v>
      </c>
      <c r="AC15" s="36" t="n">
        <f aca="false">SIN(Y15)</f>
        <v>0.015050378496999</v>
      </c>
      <c r="AD15" s="36" t="n">
        <f aca="false">COS($A$10*(23.4393-46.815*L15/3600))*AB15-SIN($A$10*(23.4393-46.815*L15/3600))*AC15</f>
        <v>0.85723961256447</v>
      </c>
      <c r="AE15" s="36" t="n">
        <f aca="false">SIN($A$10*(23.4393-46.815*L15/3600))*AB15+COS($A$10*(23.4393-46.815*L15/3600))*AC15</f>
        <v>0.388011732991011</v>
      </c>
      <c r="AF15" s="36" t="n">
        <f aca="false">SQRT(1-AE15*AE15)</f>
        <v>0.921654433647076</v>
      </c>
      <c r="AG15" s="35" t="n">
        <f aca="false">ATAN(AE15/AF15)/$A$10</f>
        <v>22.8308400660138</v>
      </c>
      <c r="AH15" s="36" t="n">
        <f aca="false">IF(24*ATAN(AD15/(AA15+AF15))/PI()&gt;0,24*ATAN(AD15/(AA15+AF15))/PI(),24*ATAN(AD15/(AA15+AF15))/PI()+24)</f>
        <v>4.5634601327267</v>
      </c>
      <c r="AI15" s="63" t="n">
        <f aca="false">IF(M15-15*AH15&gt;0,M15-15*AH15,360+M15-15*AH15)</f>
        <v>59.9915628005018</v>
      </c>
      <c r="AJ15" s="32" t="n">
        <f aca="false">0.950724+0.051818*COS(P15)+0.009531*COS(2*R15-P15)+0.007843*COS(2*R15)+0.002824*COS(2*P15)+0.000857*COS(2*R15+P15)+0.000533*COS(2*R15-Q15)*(1-0.002495*(J15-2415020)/36525)+0.000401*COS(2*R15-Q15-P15)*(1-0.002495*(J15-2415020)/36525)+0.00032*COS(P15-Q15)*(1-0.002495*(J15-2415020)/36525)-0.000271*COS(R15)</f>
        <v>0.900602240423895</v>
      </c>
      <c r="AK15" s="36" t="n">
        <f aca="false">ASIN(COS($A$10*$B$5)*COS($A$10*AG15)*COS($A$10*AI15)+SIN($A$10*$B$5)*SIN($A$10*AG15))/$A$10</f>
        <v>36.4074689121425</v>
      </c>
      <c r="AL15" s="32" t="n">
        <f aca="false">ASIN((0.9983271+0.0016764*COS($A$10*2*$B$5))*COS($A$10*AK15)*SIN($A$10*AJ15))/$A$10</f>
        <v>0.723385365619251</v>
      </c>
      <c r="AM15" s="32" t="n">
        <f aca="false">AK15-AL15</f>
        <v>35.6840835465233</v>
      </c>
      <c r="AN15" s="35" t="n">
        <f aca="false"> MOD(280.4664567 + 360007.6982779*L15/10 + 0.03032028*L15^2/100 + L15^3/49931000,360)</f>
        <v>293.4492492179</v>
      </c>
      <c r="AO15" s="32" t="n">
        <f aca="false"> AN15 + (1.9146 - 0.004817*L15 - 0.000014*L15^2)*SIN(Q15)+ (0.019993 - 0.000101*L15)*SIN(2*Q15)+ 0.00029*SIN(3*Q15)</f>
        <v>293.79292481081</v>
      </c>
      <c r="AP15" s="32" t="n">
        <f aca="false">ACOS(COS(W15-$A$10*AO15)*COS(Y15))/$A$10</f>
        <v>136.411969371449</v>
      </c>
      <c r="AQ15" s="34" t="n">
        <f aca="false">180 - AP15 -0.1468*(1-0.0549*SIN(Q15))*SIN($A$10*AP15)/(1-0.0167*SIN($A$10*AO15))</f>
        <v>43.4893027912639</v>
      </c>
      <c r="AR15" s="64" t="n">
        <f aca="false">SIN($A$10*AI15)</f>
        <v>0.865951765939553</v>
      </c>
      <c r="AS15" s="64" t="n">
        <f aca="false">COS($A$10*AI15)*SIN($A$10*$B$5) - TAN($A$10*AG15)*COS($A$10*$B$5)</f>
        <v>0.11250966221565</v>
      </c>
      <c r="AT15" s="24" t="n">
        <f aca="false">IF(OR(AND(AR15*AS15&gt;0), AND(AR15&lt;0,AS15&gt;0)), MOD(ATAN2(AS15,AR15)/$A$10+360,360),  ATAN2(AS15,AR15)/$A$10)</f>
        <v>82.597256484658</v>
      </c>
      <c r="AU15" s="39" t="n">
        <f aca="false"> 385000.56 + (-20905355*COS(P15) - 3699111*COS(2*R15-P15) - 2955968*COS(2*R15) - 569925*COS(2*P15) + (1-0.002516*L15)*48888*COS(Q15) - 3149*COS(2*S15)  +246158*COS(2*R15-2*P15) -(1 - 0.002516*L15)*152138*COS(2*R15-Q15-P15) -170733*COS(2*R15+P15) -(1 - 0.002516*L15)*204586*COS(2*R15-Q15) -(1 - 0.002516*L15)*129620*COS(Q15-P15)  + 108743*COS(R15) +(1-0.002516*L15)*104755*COS(Q15+P15) +10321*COS(2*R15-2*S15) +79661*COS(P15-2*S15) -34782*COS(4*R15-P15) -23210*COS(3*P15)  -21636*COS(4*R15-2*P15) +(1 - 0.002516*L15)*24208*COS(2*R15+Q15-P15) +(1 - 0.002516*L15)*30824*COS(2*R15+Q15) -8379*COS(R15-P15) -(1 - 0.002516*L15)*16675*COS(R15+Q15)  -(1 - 0.002516*L15)*12831*COS(2*R15-Q15+P15) -10445*COS(2*R15+2*P15) -11650*COS(4*R15) +14403*COS(2*R15-3*P15) -(1-0.002516*L15)*7003*COS(Q15-2*P15)  + (1 - 0.002516*L15)*10056*COS(2*R15-Q15-2*P15) +6322*COS(R15+P15) -(1 - 0.002516*L15)*(1-0.002516*L15)*9884*COS(2*R15-2*Q15) +(1-0.002516*L15)*5751*COS(Q15+2*P15) - (1-0.002516*L15)^2*4950*COS(2*R15-2*Q15-P15)  +4130*COS(2*R15+P15-2*S15) -(1-0.002516*L15)*3958*COS(4*R15-Q15-P15) +3258*COS(3*R15-P15) +(1 - 0.002516*L15)*2616*COS(2*R15+Q15+P15) -(1 - 0.002516*L15)*1897*COS(4*R15-Q15-2*P15)  -(1-0.002516*L15)^2*2117*COS(2*Q15-P15) +(1-0.002516*L15)^2*2354*COS(2*R15+2*Q15-P15) -1423*COS(4*R15+P15) -1117*COS(4*P15) -(1-0.002516*L15)*1571*COS(4*R15-Q15)  -1739*COS(R15-2*P15) -4421*COS(2*P15-2*S15) +(1-0.002516*L15)^2*1165*COS(2*Q15+P15) +8752*COS(2*R15-P15-2*S15))/1000</f>
        <v>405731.720997716</v>
      </c>
      <c r="AV15" s="54" t="n">
        <f aca="false">ATAN(0.99664719*TAN($A$10*input!$E$2))</f>
        <v>0.871010436227447</v>
      </c>
      <c r="AW15" s="54" t="n">
        <f aca="false">COS(AV15)</f>
        <v>0.644053912545845</v>
      </c>
      <c r="AX15" s="54" t="n">
        <f aca="false">0.99664719*SIN(AV15)</f>
        <v>0.762415269897027</v>
      </c>
      <c r="AY15" s="54" t="n">
        <f aca="false">6378.14/AU15</f>
        <v>0.0157200920458371</v>
      </c>
      <c r="AZ15" s="55" t="n">
        <f aca="false">M15-15*AH15</f>
        <v>59.9915628005018</v>
      </c>
      <c r="BA15" s="56" t="n">
        <f aca="false">COS($A$10*AG15)*SIN($A$10*AZ15)</f>
        <v>0.798108284402704</v>
      </c>
      <c r="BB15" s="56" t="n">
        <f aca="false">COS($A$10*AG15)*COS($A$10*AZ15)-AW15*AY15</f>
        <v>0.45082016199363</v>
      </c>
      <c r="BC15" s="56" t="n">
        <f aca="false">SIN($A$10*AG15)-AX15*AY15</f>
        <v>0.376026494771078</v>
      </c>
      <c r="BD15" s="57" t="n">
        <f aca="false">SQRT(BA15^2+BB15^2+BC15^2)</f>
        <v>0.990763128533765</v>
      </c>
      <c r="BE15" s="58" t="n">
        <f aca="false">AU15*BD15</f>
        <v>401984.029241086</v>
      </c>
    </row>
    <row r="16" customFormat="false" ht="15" hidden="false" customHeight="false" outlineLevel="0" collapsed="false">
      <c r="A16" s="21" t="s">
        <v>2</v>
      </c>
      <c r="D16" s="41" t="n">
        <f aca="false">K16-INT(275*E16/9)+IF($A$8="common year",2,1)*INT((E16+9)/12)+30</f>
        <v>15</v>
      </c>
      <c r="E16" s="41" t="n">
        <f aca="false">IF(K16&lt;32,1,INT(9*(IF($A$8="common year",2,1)+K16)/275+0.98))</f>
        <v>1</v>
      </c>
      <c r="F16" s="42" t="n">
        <f aca="false">AM16</f>
        <v>44.7784005909799</v>
      </c>
      <c r="G16" s="60" t="n">
        <f aca="false">F16+1.02/(TAN($A$10*(F16+10.3/(F16+5.11)))*60)</f>
        <v>44.795409576775</v>
      </c>
      <c r="H16" s="43" t="n">
        <f aca="false">100*(1+COS($A$10*AQ16))/2</f>
        <v>92.0344384613499</v>
      </c>
      <c r="I16" s="43" t="n">
        <f aca="false">IF(AI16&gt;180,AT16-180,AT16+180)</f>
        <v>254.338937216209</v>
      </c>
      <c r="J16" s="61" t="n">
        <f aca="false">$J$2+K15</f>
        <v>2459594.5</v>
      </c>
      <c r="K16" s="21" t="n">
        <v>15</v>
      </c>
      <c r="L16" s="62" t="n">
        <f aca="false">(J16-2451545)/36525</f>
        <v>0.220383299110199</v>
      </c>
      <c r="M16" s="63" t="n">
        <f aca="false">MOD(280.46061837+360.98564736629*(J16-2451545)+0.000387933*L16^2-L16^3/38710000+$B$7,360)</f>
        <v>129.429112162441</v>
      </c>
      <c r="N16" s="30" t="n">
        <f aca="false">0.606433+1336.855225*L16 - INT(0.606433+1336.855225*L16)</f>
        <v>0.226997918206678</v>
      </c>
      <c r="O16" s="35" t="n">
        <f aca="false">22640*SIN(P16)-4586*SIN(P16-2*R16)+2370*SIN(2*R16)+769*SIN(2*P16)-668*SIN(Q16)-412*SIN(2*S16)-212*SIN(2*P16-2*R16)-206*SIN(P16+Q16-2*R16)+192*SIN(P16+2*R16)-165*SIN(Q16-2*R16)-125*SIN(R16)-110*SIN(P16+Q16)+148*SIN(P16-Q16)-55*SIN(2*S16-2*R16)</f>
        <v>991.152567898086</v>
      </c>
      <c r="P16" s="32" t="n">
        <f aca="false">2*PI()*(0.374897+1325.55241*L16 - INT(0.374897+1325.55241*L16))</f>
        <v>3.1699314483947</v>
      </c>
      <c r="Q16" s="36" t="n">
        <f aca="false">2*PI()*(0.993133+99.997361*L16 - INT(0.993133+99.997361*L16))</f>
        <v>0.194033052907872</v>
      </c>
      <c r="R16" s="36" t="n">
        <f aca="false">2*PI()*(0.827361+1236.853086*L16 - INT(0.827361+1236.853086*L16))</f>
        <v>2.57060572145611</v>
      </c>
      <c r="S16" s="36" t="n">
        <f aca="false">2*PI()*(0.259086+1342.227825*L16 - INT(0.259086+1342.227825*L16))</f>
        <v>0.400127258186377</v>
      </c>
      <c r="T16" s="36" t="n">
        <f aca="false">S16+(O16+412*SIN(2*S16)+541*SIN(Q16))/206264.8062</f>
        <v>0.406871456544846</v>
      </c>
      <c r="U16" s="36" t="n">
        <f aca="false">S16-2*R16</f>
        <v>-4.74108418472584</v>
      </c>
      <c r="V16" s="34" t="n">
        <f aca="false">-526*SIN(U16)+44*SIN(P16+U16)-31*SIN(-P16+U16)-23*SIN(Q16+U16)+11*SIN(-Q16+U16)-25*SIN(-2*P16+S16)+21*SIN(-P16+S16)</f>
        <v>-566.839282040387</v>
      </c>
      <c r="W16" s="36" t="n">
        <f aca="false">2*PI()*(N16+O16/1296000-INT(N16+O16/1296000))</f>
        <v>1.43107522768639</v>
      </c>
      <c r="X16" s="35" t="n">
        <f aca="false">W16*180/PI()</f>
        <v>81.9945707121534</v>
      </c>
      <c r="Y16" s="36" t="n">
        <f aca="false">(18520*SIN(T16)+V16)/206264.8062</f>
        <v>0.0327842204500848</v>
      </c>
      <c r="Z16" s="36" t="n">
        <f aca="false">Y16*180/PI()</f>
        <v>1.87839746641635</v>
      </c>
      <c r="AA16" s="36" t="n">
        <f aca="false">COS(Y16)*COS(W16)</f>
        <v>0.139192101391791</v>
      </c>
      <c r="AB16" s="36" t="n">
        <f aca="false">COS(Y16)*SIN(W16)</f>
        <v>0.989722758560757</v>
      </c>
      <c r="AC16" s="36" t="n">
        <f aca="false">SIN(Y16)</f>
        <v>0.0327783479910671</v>
      </c>
      <c r="AD16" s="36" t="n">
        <f aca="false">COS($A$10*(23.4393-46.815*L16/3600))*AB16-SIN($A$10*(23.4393-46.815*L16/3600))*AC16</f>
        <v>0.895035528863916</v>
      </c>
      <c r="AE16" s="36" t="n">
        <f aca="false">SIN($A$10*(23.4393-46.815*L16/3600))*AB16+COS($A$10*(23.4393-46.815*L16/3600))*AC16</f>
        <v>0.423718020600291</v>
      </c>
      <c r="AF16" s="36" t="n">
        <f aca="false">SQRT(1-AE16*AE16)</f>
        <v>0.905794148258075</v>
      </c>
      <c r="AG16" s="35" t="n">
        <f aca="false">ATAN(AE16/AF16)/$A$10</f>
        <v>25.0695452415487</v>
      </c>
      <c r="AH16" s="36" t="n">
        <f aca="false">IF(24*ATAN(AD16/(AA16+AF16))/PI()&gt;0,24*ATAN(AD16/(AA16+AF16))/PI(),24*ATAN(AD16/(AA16+AF16))/PI()+24)</f>
        <v>5.41069423467987</v>
      </c>
      <c r="AI16" s="63" t="n">
        <f aca="false">IF(M16-15*AH16&gt;0,M16-15*AH16,360+M16-15*AH16)</f>
        <v>48.268698642243</v>
      </c>
      <c r="AJ16" s="32" t="n">
        <f aca="false">0.950724+0.051818*COS(P16)+0.009531*COS(2*R16-P16)+0.007843*COS(2*R16)+0.002824*COS(2*P16)+0.000857*COS(2*R16+P16)+0.000533*COS(2*R16-Q16)*(1-0.002495*(J16-2415020)/36525)+0.000401*COS(2*R16-Q16-P16)*(1-0.002495*(J16-2415020)/36525)+0.00032*COS(P16-Q16)*(1-0.002495*(J16-2415020)/36525)-0.000271*COS(R16)</f>
        <v>0.900868341569583</v>
      </c>
      <c r="AK16" s="36" t="n">
        <f aca="false">ASIN(COS($A$10*$B$5)*COS($A$10*AG16)*COS($A$10*AI16)+SIN($A$10*$B$5)*SIN($A$10*AG16))/$A$10</f>
        <v>45.4095853725284</v>
      </c>
      <c r="AL16" s="32" t="n">
        <f aca="false">ASIN((0.9983271+0.0016764*COS($A$10*2*$B$5))*COS($A$10*AK16)*SIN($A$10*AJ16))/$A$10</f>
        <v>0.631184781548503</v>
      </c>
      <c r="AM16" s="32" t="n">
        <f aca="false">AK16-AL16</f>
        <v>44.7784005909799</v>
      </c>
      <c r="AN16" s="35" t="n">
        <f aca="false"> MOD(280.4664567 + 360007.6982779*L16/10 + 0.03032028*L16^2/100 + L16^3/49931000,360)</f>
        <v>294.434896581663</v>
      </c>
      <c r="AO16" s="32" t="n">
        <f aca="false"> AN16 + (1.9146 - 0.004817*L16 - 0.000014*L16^2)*SIN(Q16)+ (0.019993 - 0.000101*L16)*SIN(2*Q16)+ 0.00029*SIN(3*Q16)</f>
        <v>294.811577107245</v>
      </c>
      <c r="AP16" s="32" t="n">
        <f aca="false">ACOS(COS(W16-$A$10*AO16)*COS(Y16))/$A$10</f>
        <v>147.135281689461</v>
      </c>
      <c r="AQ16" s="34" t="n">
        <f aca="false">180 - AP16 -0.1468*(1-0.0549*SIN(Q16))*SIN($A$10*AP16)/(1-0.0167*SIN($A$10*AO16))</f>
        <v>32.7870764262583</v>
      </c>
      <c r="AR16" s="64" t="n">
        <f aca="false">SIN($A$10*AI16)</f>
        <v>0.746274647722615</v>
      </c>
      <c r="AS16" s="64" t="n">
        <f aca="false">COS($A$10*AI16)*SIN($A$10*$B$5) - TAN($A$10*AG16)*COS($A$10*$B$5)</f>
        <v>0.209221221790808</v>
      </c>
      <c r="AT16" s="24" t="n">
        <f aca="false">IF(OR(AND(AR16*AS16&gt;0), AND(AR16&lt;0,AS16&gt;0)), MOD(ATAN2(AS16,AR16)/$A$10+360,360),  ATAN2(AS16,AR16)/$A$10)</f>
        <v>74.3389372162086</v>
      </c>
      <c r="AU16" s="39" t="n">
        <f aca="false"> 385000.56 + (-20905355*COS(P16) - 3699111*COS(2*R16-P16) - 2955968*COS(2*R16) - 569925*COS(2*P16) + (1-0.002516*L16)*48888*COS(Q16) - 3149*COS(2*S16)  +246158*COS(2*R16-2*P16) -(1 - 0.002516*L16)*152138*COS(2*R16-Q16-P16) -170733*COS(2*R16+P16) -(1 - 0.002516*L16)*204586*COS(2*R16-Q16) -(1 - 0.002516*L16)*129620*COS(Q16-P16)  + 108743*COS(R16) +(1-0.002516*L16)*104755*COS(Q16+P16) +10321*COS(2*R16-2*S16) +79661*COS(P16-2*S16) -34782*COS(4*R16-P16) -23210*COS(3*P16)  -21636*COS(4*R16-2*P16) +(1 - 0.002516*L16)*24208*COS(2*R16+Q16-P16) +(1 - 0.002516*L16)*30824*COS(2*R16+Q16) -8379*COS(R16-P16) -(1 - 0.002516*L16)*16675*COS(R16+Q16)  -(1 - 0.002516*L16)*12831*COS(2*R16-Q16+P16) -10445*COS(2*R16+2*P16) -11650*COS(4*R16) +14403*COS(2*R16-3*P16) -(1-0.002516*L16)*7003*COS(Q16-2*P16)  + (1 - 0.002516*L16)*10056*COS(2*R16-Q16-2*P16) +6322*COS(R16+P16) -(1 - 0.002516*L16)*(1-0.002516*L16)*9884*COS(2*R16-2*Q16) +(1-0.002516*L16)*5751*COS(Q16+2*P16) - (1-0.002516*L16)^2*4950*COS(2*R16-2*Q16-P16)  +4130*COS(2*R16+P16-2*S16) -(1-0.002516*L16)*3958*COS(4*R16-Q16-P16) +3258*COS(3*R16-P16) +(1 - 0.002516*L16)*2616*COS(2*R16+Q16+P16) -(1 - 0.002516*L16)*1897*COS(4*R16-Q16-2*P16)  -(1-0.002516*L16)^2*2117*COS(2*Q16-P16) +(1-0.002516*L16)^2*2354*COS(2*R16+2*Q16-P16) -1423*COS(4*R16+P16) -1117*COS(4*P16) -(1-0.002516*L16)*1571*COS(4*R16-Q16)  -1739*COS(R16-2*P16) -4421*COS(2*P16-2*S16) +(1-0.002516*L16)^2*1165*COS(2*Q16+P16) +8752*COS(2*R16-P16-2*S16))/1000</f>
        <v>405641.187860336</v>
      </c>
      <c r="AV16" s="54" t="n">
        <f aca="false">ATAN(0.99664719*TAN($A$10*input!$E$2))</f>
        <v>0.871010436227447</v>
      </c>
      <c r="AW16" s="54" t="n">
        <f aca="false">COS(AV16)</f>
        <v>0.644053912545845</v>
      </c>
      <c r="AX16" s="54" t="n">
        <f aca="false">0.99664719*SIN(AV16)</f>
        <v>0.762415269897027</v>
      </c>
      <c r="AY16" s="54" t="n">
        <f aca="false">6378.14/AU16</f>
        <v>0.0157236005387994</v>
      </c>
      <c r="AZ16" s="55" t="n">
        <f aca="false">M16-15*AH16</f>
        <v>48.268698642243</v>
      </c>
      <c r="BA16" s="56" t="n">
        <f aca="false">COS($A$10*AG16)*SIN($A$10*AZ16)</f>
        <v>0.675971208900501</v>
      </c>
      <c r="BB16" s="56" t="n">
        <f aca="false">COS($A$10*AG16)*COS($A$10*AZ16)-AW16*AY16</f>
        <v>0.59280429701549</v>
      </c>
      <c r="BC16" s="56" t="n">
        <f aca="false">SIN($A$10*AG16)-AX16*AY16</f>
        <v>0.411730107451749</v>
      </c>
      <c r="BD16" s="57" t="n">
        <f aca="false">SQRT(BA16^2+BB16^2+BC16^2)</f>
        <v>0.988875973620889</v>
      </c>
      <c r="BE16" s="58" t="n">
        <f aca="false">AU16*BD16</f>
        <v>401128.824586124</v>
      </c>
    </row>
    <row r="17" customFormat="false" ht="15" hidden="false" customHeight="false" outlineLevel="0" collapsed="false">
      <c r="A17" s="21" t="s">
        <v>3</v>
      </c>
      <c r="D17" s="41" t="n">
        <f aca="false">K17-INT(275*E17/9)+IF($A$8="common year",2,1)*INT((E17+9)/12)+30</f>
        <v>16</v>
      </c>
      <c r="E17" s="41" t="n">
        <f aca="false">IF(K17&lt;32,1,INT(9*(IF($A$8="common year",2,1)+K17)/275+0.98))</f>
        <v>1</v>
      </c>
      <c r="F17" s="42" t="n">
        <f aca="false">AM17</f>
        <v>52.9775909094459</v>
      </c>
      <c r="G17" s="60" t="n">
        <f aca="false">F17+1.02/(TAN($A$10*(F17+10.3/(F17+5.11)))*60)</f>
        <v>52.9903294125869</v>
      </c>
      <c r="H17" s="43" t="n">
        <f aca="false">100*(1+COS($A$10*AQ17))/2</f>
        <v>96.3269816863784</v>
      </c>
      <c r="I17" s="43" t="n">
        <f aca="false">IF(AI17&gt;180,AT17-180,AT17+180)</f>
        <v>242.839985664181</v>
      </c>
      <c r="J17" s="61" t="n">
        <f aca="false">$J$2+K16</f>
        <v>2459595.5</v>
      </c>
      <c r="K17" s="21" t="n">
        <v>16</v>
      </c>
      <c r="L17" s="62" t="n">
        <f aca="false">(J17-2451545)/36525</f>
        <v>0.22041067761807</v>
      </c>
      <c r="M17" s="63" t="n">
        <f aca="false">MOD(280.46061837+360.98564736629*(J17-2451545)+0.000387933*L17^2-L17^3/38710000+$B$7,360)</f>
        <v>130.41475953348</v>
      </c>
      <c r="N17" s="30" t="n">
        <f aca="false">0.606433+1336.855225*L17 - INT(0.606433+1336.855225*L17)</f>
        <v>0.263599019507183</v>
      </c>
      <c r="O17" s="35" t="n">
        <f aca="false">22640*SIN(P17)-4586*SIN(P17-2*R17)+2370*SIN(2*R17)+769*SIN(2*P17)-668*SIN(Q17)-412*SIN(2*S17)-212*SIN(2*P17-2*R17)-206*SIN(P17+Q17-2*R17)+192*SIN(P17+2*R17)-165*SIN(Q17-2*R17)-125*SIN(R17)-110*SIN(P17+Q17)+148*SIN(P17-Q17)-55*SIN(2*S17-2*R17)</f>
        <v>-3769.46218282845</v>
      </c>
      <c r="P17" s="32" t="n">
        <f aca="false">2*PI()*(0.374897+1325.55241*L17 - INT(0.374897+1325.55241*L17))</f>
        <v>3.39795859217016</v>
      </c>
      <c r="Q17" s="36" t="n">
        <f aca="false">2*PI()*(0.993133+99.997361*L17 - INT(0.993133+99.997361*L17))</f>
        <v>0.211235022774857</v>
      </c>
      <c r="R17" s="36" t="n">
        <f aca="false">2*PI()*(0.827361+1236.853086*L17 - INT(0.827361+1236.853086*L17))</f>
        <v>2.78337443157514</v>
      </c>
      <c r="S17" s="36" t="n">
        <f aca="false">2*PI()*(0.259086+1342.227825*L17 - INT(0.259086+1342.227825*L17))</f>
        <v>0.631022977527381</v>
      </c>
      <c r="T17" s="36" t="n">
        <f aca="false">S17+(O17+412*SIN(2*S17)+541*SIN(Q17))/206264.8062</f>
        <v>0.615201016080366</v>
      </c>
      <c r="U17" s="36" t="n">
        <f aca="false">S17-2*R17</f>
        <v>-4.93572588562289</v>
      </c>
      <c r="V17" s="34" t="n">
        <f aca="false">-526*SIN(U17)+44*SIN(P17+U17)-31*SIN(-P17+U17)-23*SIN(Q17+U17)+11*SIN(-Q17+U17)-25*SIN(-2*P17+S17)+21*SIN(-P17+S17)</f>
        <v>-553.067237092913</v>
      </c>
      <c r="W17" s="36" t="n">
        <f aca="false">2*PI()*(N17+O17/1296000-INT(N17+O17/1296000))</f>
        <v>1.63796661798787</v>
      </c>
      <c r="X17" s="35" t="n">
        <f aca="false">W17*180/PI()</f>
        <v>93.8485741940223</v>
      </c>
      <c r="Y17" s="36" t="n">
        <f aca="false">(18520*SIN(T17)+V17)/206264.8062</f>
        <v>0.0491370547655906</v>
      </c>
      <c r="Z17" s="36" t="n">
        <f aca="false">Y17*180/PI()</f>
        <v>2.81534585577153</v>
      </c>
      <c r="AA17" s="36" t="n">
        <f aca="false">COS(Y17)*COS(W17)</f>
        <v>-0.0670387798347209</v>
      </c>
      <c r="AB17" s="36" t="n">
        <f aca="false">COS(Y17)*SIN(W17)</f>
        <v>0.996540663702</v>
      </c>
      <c r="AC17" s="36" t="n">
        <f aca="false">SIN(Y17)</f>
        <v>0.0491172839909689</v>
      </c>
      <c r="AD17" s="36" t="n">
        <f aca="false">COS($A$10*(23.4393-46.815*L17/3600))*AB17-SIN($A$10*(23.4393-46.815*L17/3600))*AC17</f>
        <v>0.89479246451379</v>
      </c>
      <c r="AE17" s="36" t="n">
        <f aca="false">SIN($A$10*(23.4393-46.815*L17/3600))*AB17+COS($A$10*(23.4393-46.815*L17/3600))*AC17</f>
        <v>0.441420714792146</v>
      </c>
      <c r="AF17" s="36" t="n">
        <f aca="false">SQRT(1-AE17*AE17)</f>
        <v>0.897300257746754</v>
      </c>
      <c r="AG17" s="35" t="n">
        <f aca="false">ATAN(AE17/AF17)/$A$10</f>
        <v>26.1945635121918</v>
      </c>
      <c r="AH17" s="36" t="n">
        <f aca="false">IF(24*ATAN(AD17/(AA17+AF17))/PI()&gt;0,24*ATAN(AD17/(AA17+AF17))/PI(),24*ATAN(AD17/(AA17+AF17))/PI()+24)</f>
        <v>6.28564362624409</v>
      </c>
      <c r="AI17" s="63" t="n">
        <f aca="false">IF(M17-15*AH17&gt;0,M17-15*AH17,360+M17-15*AH17)</f>
        <v>36.1301051398184</v>
      </c>
      <c r="AJ17" s="32" t="n">
        <f aca="false">0.950724+0.051818*COS(P17)+0.009531*COS(2*R17-P17)+0.007843*COS(2*R17)+0.002824*COS(2*P17)+0.000857*COS(2*R17+P17)+0.000533*COS(2*R17-Q17)*(1-0.002495*(J17-2415020)/36525)+0.000401*COS(2*R17-Q17-P17)*(1-0.002495*(J17-2415020)/36525)+0.00032*COS(P17-Q17)*(1-0.002495*(J17-2415020)/36525)-0.000271*COS(R17)</f>
        <v>0.902944447692426</v>
      </c>
      <c r="AK17" s="36" t="n">
        <f aca="false">ASIN(COS($A$10*$B$5)*COS($A$10*AG17)*COS($A$10*AI17)+SIN($A$10*$B$5)*SIN($A$10*AG17))/$A$10</f>
        <v>53.5134436344785</v>
      </c>
      <c r="AL17" s="32" t="n">
        <f aca="false">ASIN((0.9983271+0.0016764*COS($A$10*2*$B$5))*COS($A$10*AK17)*SIN($A$10*AJ17))/$A$10</f>
        <v>0.53585272503268</v>
      </c>
      <c r="AM17" s="32" t="n">
        <f aca="false">AK17-AL17</f>
        <v>52.9775909094459</v>
      </c>
      <c r="AN17" s="35" t="n">
        <f aca="false"> MOD(280.4664567 + 360007.6982779*L17/10 + 0.03032028*L17^2/100 + L17^3/49931000,360)</f>
        <v>295.420543945425</v>
      </c>
      <c r="AO17" s="32" t="n">
        <f aca="false"> AN17 + (1.9146 - 0.004817*L17 - 0.000014*L17^2)*SIN(Q17)+ (0.019993 - 0.000101*L17)*SIN(2*Q17)+ 0.00029*SIN(3*Q17)</f>
        <v>295.830110854151</v>
      </c>
      <c r="AP17" s="32" t="n">
        <f aca="false">ACOS(COS(W17-$A$10*AO17)*COS(Y17))/$A$10</f>
        <v>157.847769467809</v>
      </c>
      <c r="AQ17" s="34" t="n">
        <f aca="false">180 - AP17 -0.1468*(1-0.0549*SIN(Q17))*SIN($A$10*AP17)/(1-0.0167*SIN($A$10*AO17))</f>
        <v>22.098324297602</v>
      </c>
      <c r="AR17" s="64" t="n">
        <f aca="false">SIN($A$10*AI17)</f>
        <v>0.589620821205376</v>
      </c>
      <c r="AS17" s="64" t="n">
        <f aca="false">COS($A$10*AI17)*SIN($A$10*$B$5) - TAN($A$10*AG17)*COS($A$10*$B$5)</f>
        <v>0.302503959230414</v>
      </c>
      <c r="AT17" s="24" t="n">
        <f aca="false">IF(OR(AND(AR17*AS17&gt;0), AND(AR17&lt;0,AS17&gt;0)), MOD(ATAN2(AS17,AR17)/$A$10+360,360),  ATAN2(AS17,AR17)/$A$10)</f>
        <v>62.8399856641807</v>
      </c>
      <c r="AU17" s="39" t="n">
        <f aca="false"> 385000.56 + (-20905355*COS(P17) - 3699111*COS(2*R17-P17) - 2955968*COS(2*R17) - 569925*COS(2*P17) + (1-0.002516*L17)*48888*COS(Q17) - 3149*COS(2*S17)  +246158*COS(2*R17-2*P17) -(1 - 0.002516*L17)*152138*COS(2*R17-Q17-P17) -170733*COS(2*R17+P17) -(1 - 0.002516*L17)*204586*COS(2*R17-Q17) -(1 - 0.002516*L17)*129620*COS(Q17-P17)  + 108743*COS(R17) +(1-0.002516*L17)*104755*COS(Q17+P17) +10321*COS(2*R17-2*S17) +79661*COS(P17-2*S17) -34782*COS(4*R17-P17) -23210*COS(3*P17)  -21636*COS(4*R17-2*P17) +(1 - 0.002516*L17)*24208*COS(2*R17+Q17-P17) +(1 - 0.002516*L17)*30824*COS(2*R17+Q17) -8379*COS(R17-P17) -(1 - 0.002516*L17)*16675*COS(R17+Q17)  -(1 - 0.002516*L17)*12831*COS(2*R17-Q17+P17) -10445*COS(2*R17+2*P17) -11650*COS(4*R17) +14403*COS(2*R17-3*P17) -(1-0.002516*L17)*7003*COS(Q17-2*P17)  + (1 - 0.002516*L17)*10056*COS(2*R17-Q17-2*P17) +6322*COS(R17+P17) -(1 - 0.002516*L17)*(1-0.002516*L17)*9884*COS(2*R17-2*Q17) +(1-0.002516*L17)*5751*COS(Q17+2*P17) - (1-0.002516*L17)^2*4950*COS(2*R17-2*Q17-P17)  +4130*COS(2*R17+P17-2*S17) -(1-0.002516*L17)*3958*COS(4*R17-Q17-P17) +3258*COS(3*R17-P17) +(1 - 0.002516*L17)*2616*COS(2*R17+Q17+P17) -(1 - 0.002516*L17)*1897*COS(4*R17-Q17-2*P17)  -(1-0.002516*L17)^2*2117*COS(2*Q17-P17) +(1-0.002516*L17)^2*2354*COS(2*R17+2*Q17-P17) -1423*COS(4*R17+P17) -1117*COS(4*P17) -(1-0.002516*L17)*1571*COS(4*R17-Q17)  -1739*COS(R17-2*P17) -4421*COS(2*P17-2*S17) +(1-0.002516*L17)^2*1165*COS(2*Q17+P17) +8752*COS(2*R17-P17-2*S17))/1000</f>
        <v>404723.385299427</v>
      </c>
      <c r="AV17" s="54" t="n">
        <f aca="false">ATAN(0.99664719*TAN($A$10*input!$E$2))</f>
        <v>0.871010436227447</v>
      </c>
      <c r="AW17" s="54" t="n">
        <f aca="false">COS(AV17)</f>
        <v>0.644053912545845</v>
      </c>
      <c r="AX17" s="54" t="n">
        <f aca="false">0.99664719*SIN(AV17)</f>
        <v>0.762415269897027</v>
      </c>
      <c r="AY17" s="54" t="n">
        <f aca="false">6378.14/AU17</f>
        <v>0.0157592573883055</v>
      </c>
      <c r="AZ17" s="55" t="n">
        <f aca="false">M17-15*AH17</f>
        <v>36.1301051398184</v>
      </c>
      <c r="BA17" s="56" t="n">
        <f aca="false">COS($A$10*AG17)*SIN($A$10*AZ17)</f>
        <v>0.529066914840436</v>
      </c>
      <c r="BB17" s="56" t="n">
        <f aca="false">COS($A$10*AG17)*COS($A$10*AZ17)-AW17*AY17</f>
        <v>0.714581830108053</v>
      </c>
      <c r="BC17" s="56" t="n">
        <f aca="false">SIN($A$10*AG17)-AX17*AY17</f>
        <v>0.429405616317064</v>
      </c>
      <c r="BD17" s="57" t="n">
        <f aca="false">SQRT(BA17^2+BB17^2+BC17^2)</f>
        <v>0.987384512550197</v>
      </c>
      <c r="BE17" s="58" t="n">
        <f aca="false">AU17*BD17</f>
        <v>399617.60251154</v>
      </c>
    </row>
    <row r="18" customFormat="false" ht="15" hidden="false" customHeight="false" outlineLevel="0" collapsed="false">
      <c r="A18" s="22"/>
      <c r="D18" s="41" t="n">
        <f aca="false">K18-INT(275*E18/9)+IF($A$8="common year",2,1)*INT((E18+9)/12)+30</f>
        <v>17</v>
      </c>
      <c r="E18" s="41" t="n">
        <f aca="false">IF(K18&lt;32,1,INT(9*(IF($A$8="common year",2,1)+K18)/275+0.98))</f>
        <v>1</v>
      </c>
      <c r="F18" s="42" t="n">
        <f aca="false">AM18</f>
        <v>59.4696383789697</v>
      </c>
      <c r="G18" s="60" t="n">
        <f aca="false">F18+1.02/(TAN($A$10*(F18+10.3/(F18+5.11)))*60)</f>
        <v>59.4796006045535</v>
      </c>
      <c r="H18" s="43" t="n">
        <f aca="false">100*(1+COS($A$10*AQ18))/2</f>
        <v>98.982513657075</v>
      </c>
      <c r="I18" s="43" t="n">
        <f aca="false">IF(AI18&gt;180,AT18-180,AT18+180)</f>
        <v>226.229501061822</v>
      </c>
      <c r="J18" s="61" t="n">
        <f aca="false">$J$2+K17</f>
        <v>2459596.5</v>
      </c>
      <c r="K18" s="21" t="n">
        <v>17</v>
      </c>
      <c r="L18" s="62" t="n">
        <f aca="false">(J18-2451545)/36525</f>
        <v>0.220438056125941</v>
      </c>
      <c r="M18" s="63" t="n">
        <f aca="false">MOD(280.46061837+360.98564736629*(J18-2451545)+0.000387933*L18^2-L18^3/38710000+$B$7,360)</f>
        <v>131.400406904519</v>
      </c>
      <c r="N18" s="30" t="n">
        <f aca="false">0.606433+1336.855225*L18 - INT(0.606433+1336.855225*L18)</f>
        <v>0.300200120807631</v>
      </c>
      <c r="O18" s="35" t="n">
        <f aca="false">22640*SIN(P18)-4586*SIN(P18-2*R18)+2370*SIN(2*R18)+769*SIN(2*P18)-668*SIN(Q18)-412*SIN(2*S18)-212*SIN(2*P18-2*R18)-206*SIN(P18+Q18-2*R18)+192*SIN(P18+2*R18)-165*SIN(Q18-2*R18)-125*SIN(R18)-110*SIN(P18+Q18)+148*SIN(P18-Q18)-55*SIN(2*S18-2*R18)</f>
        <v>-8117.5335094681</v>
      </c>
      <c r="P18" s="32" t="n">
        <f aca="false">2*PI()*(0.374897+1325.55241*L18 - INT(0.374897+1325.55241*L18))</f>
        <v>3.62598573594598</v>
      </c>
      <c r="Q18" s="36" t="n">
        <f aca="false">2*PI()*(0.993133+99.997361*L18 - INT(0.993133+99.997361*L18))</f>
        <v>0.228436992641842</v>
      </c>
      <c r="R18" s="36" t="n">
        <f aca="false">2*PI()*(0.827361+1236.853086*L18 - INT(0.827361+1236.853086*L18))</f>
        <v>2.99614314169416</v>
      </c>
      <c r="S18" s="36" t="n">
        <f aca="false">2*PI()*(0.259086+1342.227825*L18 - INT(0.259086+1342.227825*L18))</f>
        <v>0.861918696868385</v>
      </c>
      <c r="T18" s="36" t="n">
        <f aca="false">S18+(O18+412*SIN(2*S18)+541*SIN(Q18))/206264.8062</f>
        <v>0.825131827056476</v>
      </c>
      <c r="U18" s="36" t="n">
        <f aca="false">S18-2*R18</f>
        <v>-5.13036758651993</v>
      </c>
      <c r="V18" s="34" t="n">
        <f aca="false">-526*SIN(U18)+44*SIN(P18+U18)-31*SIN(-P18+U18)-23*SIN(Q18+U18)+11*SIN(-Q18+U18)-25*SIN(-2*P18+S18)+21*SIN(-P18+S18)</f>
        <v>-524.289892714755</v>
      </c>
      <c r="W18" s="36" t="n">
        <f aca="false">2*PI()*(N18+O18/1296000-INT(N18+O18/1296000))</f>
        <v>1.84685807524949</v>
      </c>
      <c r="X18" s="35" t="n">
        <f aca="false">W18*180/PI()</f>
        <v>105.81717307145</v>
      </c>
      <c r="Y18" s="36" t="n">
        <f aca="false">(18520*SIN(T18)+V18)/206264.8062</f>
        <v>0.0634194064000323</v>
      </c>
      <c r="Z18" s="36" t="n">
        <f aca="false">Y18*180/PI()</f>
        <v>3.63366432594681</v>
      </c>
      <c r="AA18" s="36" t="n">
        <f aca="false">COS(Y18)*COS(W18)</f>
        <v>-0.272020682459619</v>
      </c>
      <c r="AB18" s="36" t="n">
        <f aca="false">COS(Y18)*SIN(W18)</f>
        <v>0.960202122749763</v>
      </c>
      <c r="AC18" s="36" t="n">
        <f aca="false">SIN(Y18)</f>
        <v>0.0633769025832941</v>
      </c>
      <c r="AD18" s="36" t="n">
        <f aca="false">COS($A$10*(23.4393-46.815*L18/3600))*AB18-SIN($A$10*(23.4393-46.815*L18/3600))*AC18</f>
        <v>0.855780288875793</v>
      </c>
      <c r="AE18" s="36" t="n">
        <f aca="false">SIN($A$10*(23.4393-46.815*L18/3600))*AB18+COS($A$10*(23.4393-46.815*L18/3600))*AC18</f>
        <v>0.440050957828599</v>
      </c>
      <c r="AF18" s="36" t="n">
        <f aca="false">SQRT(1-AE18*AE18)</f>
        <v>0.897972802769735</v>
      </c>
      <c r="AG18" s="35" t="n">
        <f aca="false">ATAN(AE18/AF18)/$A$10</f>
        <v>26.1071324918451</v>
      </c>
      <c r="AH18" s="36" t="n">
        <f aca="false">IF(24*ATAN(AD18/(AA18+AF18))/PI()&gt;0,24*ATAN(AD18/(AA18+AF18))/PI(),24*ATAN(AD18/(AA18+AF18))/PI()+24)</f>
        <v>7.17556816417077</v>
      </c>
      <c r="AI18" s="63" t="n">
        <f aca="false">IF(M18-15*AH18&gt;0,M18-15*AH18,360+M18-15*AH18)</f>
        <v>23.766884441957</v>
      </c>
      <c r="AJ18" s="32" t="n">
        <f aca="false">0.950724+0.051818*COS(P18)+0.009531*COS(2*R18-P18)+0.007843*COS(2*R18)+0.002824*COS(2*P18)+0.000857*COS(2*R18+P18)+0.000533*COS(2*R18-Q18)*(1-0.002495*(J18-2415020)/36525)+0.000401*COS(2*R18-Q18-P18)*(1-0.002495*(J18-2415020)/36525)+0.00032*COS(P18-Q18)*(1-0.002495*(J18-2415020)/36525)-0.000271*COS(R18)</f>
        <v>0.906537849287037</v>
      </c>
      <c r="AK18" s="36" t="n">
        <f aca="false">ASIN(COS($A$10*$B$5)*COS($A$10*AG18)*COS($A$10*AI18)+SIN($A$10*$B$5)*SIN($A$10*AG18))/$A$10</f>
        <v>59.923054745163</v>
      </c>
      <c r="AL18" s="32" t="n">
        <f aca="false">ASIN((0.9983271+0.0016764*COS($A$10*2*$B$5))*COS($A$10*AK18)*SIN($A$10*AJ18))/$A$10</f>
        <v>0.45341636619327</v>
      </c>
      <c r="AM18" s="32" t="n">
        <f aca="false">AK18-AL18</f>
        <v>59.4696383789697</v>
      </c>
      <c r="AN18" s="35" t="n">
        <f aca="false"> MOD(280.4664567 + 360007.6982779*L18/10 + 0.03032028*L18^2/100 + L18^3/49931000,360)</f>
        <v>296.406191309188</v>
      </c>
      <c r="AO18" s="32" t="n">
        <f aca="false"> AN18 + (1.9146 - 0.004817*L18 - 0.000014*L18^2)*SIN(Q18)+ (0.019993 - 0.000101*L18)*SIN(2*Q18)+ 0.00029*SIN(3*Q18)</f>
        <v>296.848515730954</v>
      </c>
      <c r="AP18" s="32" t="n">
        <f aca="false">ACOS(COS(W18-$A$10*AO18)*COS(Y18))/$A$10</f>
        <v>168.392655688564</v>
      </c>
      <c r="AQ18" s="34" t="n">
        <f aca="false">180 - AP18 -0.1468*(1-0.0549*SIN(Q18))*SIN($A$10*AP18)/(1-0.0167*SIN($A$10*AO18))</f>
        <v>11.5786030902705</v>
      </c>
      <c r="AR18" s="64" t="n">
        <f aca="false">SIN($A$10*AI18)</f>
        <v>0.403016404687367</v>
      </c>
      <c r="AS18" s="64" t="n">
        <f aca="false">COS($A$10*AI18)*SIN($A$10*$B$5) - TAN($A$10*AG18)*COS($A$10*$B$5)</f>
        <v>0.386080695334523</v>
      </c>
      <c r="AT18" s="24" t="n">
        <f aca="false">IF(OR(AND(AR18*AS18&gt;0), AND(AR18&lt;0,AS18&gt;0)), MOD(ATAN2(AS18,AR18)/$A$10+360,360),  ATAN2(AS18,AR18)/$A$10)</f>
        <v>46.2295010618222</v>
      </c>
      <c r="AU18" s="39" t="n">
        <f aca="false"> 385000.56 + (-20905355*COS(P18) - 3699111*COS(2*R18-P18) - 2955968*COS(2*R18) - 569925*COS(2*P18) + (1-0.002516*L18)*48888*COS(Q18) - 3149*COS(2*S18)  +246158*COS(2*R18-2*P18) -(1 - 0.002516*L18)*152138*COS(2*R18-Q18-P18) -170733*COS(2*R18+P18) -(1 - 0.002516*L18)*204586*COS(2*R18-Q18) -(1 - 0.002516*L18)*129620*COS(Q18-P18)  + 108743*COS(R18) +(1-0.002516*L18)*104755*COS(Q18+P18) +10321*COS(2*R18-2*S18) +79661*COS(P18-2*S18) -34782*COS(4*R18-P18) -23210*COS(3*P18)  -21636*COS(4*R18-2*P18) +(1 - 0.002516*L18)*24208*COS(2*R18+Q18-P18) +(1 - 0.002516*L18)*30824*COS(2*R18+Q18) -8379*COS(R18-P18) -(1 - 0.002516*L18)*16675*COS(R18+Q18)  -(1 - 0.002516*L18)*12831*COS(2*R18-Q18+P18) -10445*COS(2*R18+2*P18) -11650*COS(4*R18) +14403*COS(2*R18-3*P18) -(1-0.002516*L18)*7003*COS(Q18-2*P18)  + (1 - 0.002516*L18)*10056*COS(2*R18-Q18-2*P18) +6322*COS(R18+P18) -(1 - 0.002516*L18)*(1-0.002516*L18)*9884*COS(2*R18-2*Q18) +(1-0.002516*L18)*5751*COS(Q18+2*P18) - (1-0.002516*L18)^2*4950*COS(2*R18-2*Q18-P18)  +4130*COS(2*R18+P18-2*S18) -(1-0.002516*L18)*3958*COS(4*R18-Q18-P18) +3258*COS(3*R18-P18) +(1 - 0.002516*L18)*2616*COS(2*R18+Q18+P18) -(1 - 0.002516*L18)*1897*COS(4*R18-Q18-2*P18)  -(1-0.002516*L18)^2*2117*COS(2*Q18-P18) +(1-0.002516*L18)^2*2354*COS(2*R18+2*Q18-P18) -1423*COS(4*R18+P18) -1117*COS(4*P18) -(1-0.002516*L18)*1571*COS(4*R18-Q18)  -1739*COS(R18-2*P18) -4421*COS(2*P18-2*S18) +(1-0.002516*L18)^2*1165*COS(2*Q18+P18) +8752*COS(2*R18-P18-2*S18))/1000</f>
        <v>403131.623443367</v>
      </c>
      <c r="AV18" s="54" t="n">
        <f aca="false">ATAN(0.99664719*TAN($A$10*input!$E$2))</f>
        <v>0.871010436227447</v>
      </c>
      <c r="AW18" s="54" t="n">
        <f aca="false">COS(AV18)</f>
        <v>0.644053912545845</v>
      </c>
      <c r="AX18" s="54" t="n">
        <f aca="false">0.99664719*SIN(AV18)</f>
        <v>0.762415269897027</v>
      </c>
      <c r="AY18" s="54" t="n">
        <f aca="false">6378.14/AU18</f>
        <v>0.0158214826847887</v>
      </c>
      <c r="AZ18" s="55" t="n">
        <f aca="false">M18-15*AH18</f>
        <v>23.766884441957</v>
      </c>
      <c r="BA18" s="56" t="n">
        <f aca="false">COS($A$10*AG18)*SIN($A$10*AZ18)</f>
        <v>0.361897770479297</v>
      </c>
      <c r="BB18" s="56" t="n">
        <f aca="false">COS($A$10*AG18)*COS($A$10*AZ18)-AW18*AY18</f>
        <v>0.811628314842455</v>
      </c>
      <c r="BC18" s="56" t="n">
        <f aca="false">SIN($A$10*AG18)-AX18*AY18</f>
        <v>0.427988417837305</v>
      </c>
      <c r="BD18" s="57" t="n">
        <f aca="false">SQRT(BA18^2+BB18^2+BC18^2)</f>
        <v>0.986349128622704</v>
      </c>
      <c r="BE18" s="58" t="n">
        <f aca="false">AU18*BD18</f>
        <v>397628.525503621</v>
      </c>
    </row>
    <row r="19" customFormat="false" ht="15" hidden="false" customHeight="false" outlineLevel="0" collapsed="false">
      <c r="A19" s="22"/>
      <c r="D19" s="41" t="n">
        <f aca="false">K19-INT(275*E19/9)+IF($A$8="common year",2,1)*INT((E19+9)/12)+30</f>
        <v>18</v>
      </c>
      <c r="E19" s="41" t="n">
        <f aca="false">IF(K19&lt;32,1,INT(9*(IF($A$8="common year",2,1)+K19)/275+0.98))</f>
        <v>1</v>
      </c>
      <c r="F19" s="42" t="n">
        <f aca="false">AM19</f>
        <v>62.8583111509799</v>
      </c>
      <c r="G19" s="60" t="n">
        <f aca="false">F19+1.02/(TAN($A$10*(F19+10.3/(F19+5.11)))*60)</f>
        <v>62.866969401766</v>
      </c>
      <c r="H19" s="43" t="n">
        <f aca="false">100*(1+COS($A$10*AQ19))/2</f>
        <v>99.8602041495459</v>
      </c>
      <c r="I19" s="43" t="n">
        <f aca="false">IF(AI19&gt;180,AT19-180,AT19+180)</f>
        <v>203.567470318567</v>
      </c>
      <c r="J19" s="61" t="n">
        <f aca="false">$J$2+K18</f>
        <v>2459597.5</v>
      </c>
      <c r="K19" s="21" t="n">
        <v>18</v>
      </c>
      <c r="L19" s="62" t="n">
        <f aca="false">(J19-2451545)/36525</f>
        <v>0.220465434633812</v>
      </c>
      <c r="M19" s="63" t="n">
        <f aca="false">MOD(280.46061837+360.98564736629*(J19-2451545)+0.000387933*L19^2-L19^3/38710000+$B$7,360)</f>
        <v>132.386054275557</v>
      </c>
      <c r="N19" s="30" t="n">
        <f aca="false">0.606433+1336.855225*L19 - INT(0.606433+1336.855225*L19)</f>
        <v>0.336801222108136</v>
      </c>
      <c r="O19" s="35" t="n">
        <f aca="false">22640*SIN(P19)-4586*SIN(P19-2*R19)+2370*SIN(2*R19)+769*SIN(2*P19)-668*SIN(Q19)-412*SIN(2*S19)-212*SIN(2*P19-2*R19)-206*SIN(P19+Q19-2*R19)+192*SIN(P19+2*R19)-165*SIN(Q19-2*R19)-125*SIN(R19)-110*SIN(P19+Q19)+148*SIN(P19-Q19)-55*SIN(2*S19-2*R19)</f>
        <v>-11946.0910003031</v>
      </c>
      <c r="P19" s="32" t="n">
        <f aca="false">2*PI()*(0.374897+1325.55241*L19 - INT(0.374897+1325.55241*L19))</f>
        <v>3.8540128797218</v>
      </c>
      <c r="Q19" s="36" t="n">
        <f aca="false">2*PI()*(0.993133+99.997361*L19 - INT(0.993133+99.997361*L19))</f>
        <v>0.245638962508849</v>
      </c>
      <c r="R19" s="36" t="n">
        <f aca="false">2*PI()*(0.827361+1236.853086*L19 - INT(0.827361+1236.853086*L19))</f>
        <v>3.20891185181318</v>
      </c>
      <c r="S19" s="36" t="n">
        <f aca="false">2*PI()*(0.259086+1342.227825*L19 - INT(0.259086+1342.227825*L19))</f>
        <v>1.09281441620939</v>
      </c>
      <c r="T19" s="36" t="n">
        <f aca="false">S19+(O19+412*SIN(2*S19)+541*SIN(Q19))/206264.8062</f>
        <v>1.03716758803225</v>
      </c>
      <c r="U19" s="36" t="n">
        <f aca="false">S19-2*R19</f>
        <v>-5.32500928741698</v>
      </c>
      <c r="V19" s="34" t="n">
        <f aca="false">-526*SIN(U19)+44*SIN(P19+U19)-31*SIN(-P19+U19)-23*SIN(Q19+U19)+11*SIN(-Q19+U19)-25*SIN(-2*P19+S19)+21*SIN(-P19+S19)</f>
        <v>-480.508158170281</v>
      </c>
      <c r="W19" s="36" t="n">
        <f aca="false">2*PI()*(N19+O19/1296000-INT(N19+O19/1296000))</f>
        <v>2.0582682066627</v>
      </c>
      <c r="X19" s="35" t="n">
        <f aca="false">W19*180/PI()</f>
        <v>117.930081347734</v>
      </c>
      <c r="Y19" s="36" t="n">
        <f aca="false">(18520*SIN(T19)+V19)/206264.8062</f>
        <v>0.0749744949585401</v>
      </c>
      <c r="Z19" s="36" t="n">
        <f aca="false">Y19*180/PI()</f>
        <v>4.29572213224921</v>
      </c>
      <c r="AA19" s="36" t="n">
        <f aca="false">COS(Y19)*COS(W19)</f>
        <v>-0.467077898089328</v>
      </c>
      <c r="AB19" s="36" t="n">
        <f aca="false">COS(Y19)*SIN(W19)</f>
        <v>0.881037789692949</v>
      </c>
      <c r="AC19" s="36" t="n">
        <f aca="false">SIN(Y19)</f>
        <v>0.0749042739062246</v>
      </c>
      <c r="AD19" s="36" t="n">
        <f aca="false">COS($A$10*(23.4393-46.815*L19/3600))*AB19-SIN($A$10*(23.4393-46.815*L19/3600))*AC19</f>
        <v>0.778562067959202</v>
      </c>
      <c r="AE19" s="36" t="n">
        <f aca="false">SIN($A$10*(23.4393-46.815*L19/3600))*AB19+COS($A$10*(23.4393-46.815*L19/3600))*AC19</f>
        <v>0.419141197511705</v>
      </c>
      <c r="AF19" s="36" t="n">
        <f aca="false">SQRT(1-AE19*AE19)</f>
        <v>0.907921062950108</v>
      </c>
      <c r="AG19" s="35" t="n">
        <f aca="false">ATAN(AE19/AF19)/$A$10</f>
        <v>24.7803795684378</v>
      </c>
      <c r="AH19" s="36" t="n">
        <f aca="false">IF(24*ATAN(AD19/(AA19+AF19))/PI()&gt;0,24*ATAN(AD19/(AA19+AF19))/PI(),24*ATAN(AD19/(AA19+AF19))/PI()+24)</f>
        <v>8.06403635303992</v>
      </c>
      <c r="AI19" s="63" t="n">
        <f aca="false">IF(M19-15*AH19&gt;0,M19-15*AH19,360+M19-15*AH19)</f>
        <v>11.4255089799586</v>
      </c>
      <c r="AJ19" s="32" t="n">
        <f aca="false">0.950724+0.051818*COS(P19)+0.009531*COS(2*R19-P19)+0.007843*COS(2*R19)+0.002824*COS(2*P19)+0.000857*COS(2*R19+P19)+0.000533*COS(2*R19-Q19)*(1-0.002495*(J19-2415020)/36525)+0.000401*COS(2*R19-Q19-P19)*(1-0.002495*(J19-2415020)/36525)+0.00032*COS(P19-Q19)*(1-0.002495*(J19-2415020)/36525)-0.000271*COS(R19)</f>
        <v>0.911382275752584</v>
      </c>
      <c r="AK19" s="36" t="n">
        <f aca="false">ASIN(COS($A$10*$B$5)*COS($A$10*AG19)*COS($A$10*AI19)+SIN($A$10*$B$5)*SIN($A$10*AG19))/$A$10</f>
        <v>63.2674559766851</v>
      </c>
      <c r="AL19" s="32" t="n">
        <f aca="false">ASIN((0.9983271+0.0016764*COS($A$10*2*$B$5))*COS($A$10*AK19)*SIN($A$10*AJ19))/$A$10</f>
        <v>0.409144825705185</v>
      </c>
      <c r="AM19" s="32" t="n">
        <f aca="false">AK19-AL19</f>
        <v>62.8583111509799</v>
      </c>
      <c r="AN19" s="35" t="n">
        <f aca="false"> MOD(280.4664567 + 360007.6982779*L19/10 + 0.03032028*L19^2/100 + L19^3/49931000,360)</f>
        <v>297.391838672953</v>
      </c>
      <c r="AO19" s="32" t="n">
        <f aca="false"> AN19 + (1.9146 - 0.004817*L19 - 0.000014*L19^2)*SIN(Q19)+ (0.019993 - 0.000101*L19)*SIN(2*Q19)+ 0.00029*SIN(3*Q19)</f>
        <v>297.8667814649</v>
      </c>
      <c r="AP19" s="32" t="n">
        <f aca="false">ACOS(COS(W19-$A$10*AO19)*COS(Y19))/$A$10</f>
        <v>175.703812387469</v>
      </c>
      <c r="AQ19" s="34" t="n">
        <f aca="false">180 - AP19 -0.1468*(1-0.0549*SIN(Q19))*SIN($A$10*AP19)/(1-0.0167*SIN($A$10*AO19))</f>
        <v>4.28549514896756</v>
      </c>
      <c r="AR19" s="64" t="n">
        <f aca="false">SIN($A$10*AI19)</f>
        <v>0.198093752881702</v>
      </c>
      <c r="AS19" s="64" t="n">
        <f aca="false">COS($A$10*AI19)*SIN($A$10*$B$5) - TAN($A$10*AG19)*COS($A$10*$B$5)</f>
        <v>0.454121296926675</v>
      </c>
      <c r="AT19" s="24" t="n">
        <f aca="false">IF(OR(AND(AR19*AS19&gt;0), AND(AR19&lt;0,AS19&gt;0)), MOD(ATAN2(AS19,AR19)/$A$10+360,360),  ATAN2(AS19,AR19)/$A$10)</f>
        <v>23.5674703185674</v>
      </c>
      <c r="AU19" s="39" t="n">
        <f aca="false"> 385000.56 + (-20905355*COS(P19) - 3699111*COS(2*R19-P19) - 2955968*COS(2*R19) - 569925*COS(2*P19) + (1-0.002516*L19)*48888*COS(Q19) - 3149*COS(2*S19)  +246158*COS(2*R19-2*P19) -(1 - 0.002516*L19)*152138*COS(2*R19-Q19-P19) -170733*COS(2*R19+P19) -(1 - 0.002516*L19)*204586*COS(2*R19-Q19) -(1 - 0.002516*L19)*129620*COS(Q19-P19)  + 108743*COS(R19) +(1-0.002516*L19)*104755*COS(Q19+P19) +10321*COS(2*R19-2*S19) +79661*COS(P19-2*S19) -34782*COS(4*R19-P19) -23210*COS(3*P19)  -21636*COS(4*R19-2*P19) +(1 - 0.002516*L19)*24208*COS(2*R19+Q19-P19) +(1 - 0.002516*L19)*30824*COS(2*R19+Q19) -8379*COS(R19-P19) -(1 - 0.002516*L19)*16675*COS(R19+Q19)  -(1 - 0.002516*L19)*12831*COS(2*R19-Q19+P19) -10445*COS(2*R19+2*P19) -11650*COS(4*R19) +14403*COS(2*R19-3*P19) -(1-0.002516*L19)*7003*COS(Q19-2*P19)  + (1 - 0.002516*L19)*10056*COS(2*R19-Q19-2*P19) +6322*COS(R19+P19) -(1 - 0.002516*L19)*(1-0.002516*L19)*9884*COS(2*R19-2*Q19) +(1-0.002516*L19)*5751*COS(Q19+2*P19) - (1-0.002516*L19)^2*4950*COS(2*R19-2*Q19-P19)  +4130*COS(2*R19+P19-2*S19) -(1-0.002516*L19)*3958*COS(4*R19-Q19-P19) +3258*COS(3*R19-P19) +(1 - 0.002516*L19)*2616*COS(2*R19+Q19+P19) -(1 - 0.002516*L19)*1897*COS(4*R19-Q19-2*P19)  -(1-0.002516*L19)^2*2117*COS(2*Q19-P19) +(1-0.002516*L19)^2*2354*COS(2*R19+2*Q19-P19) -1423*COS(4*R19+P19) -1117*COS(4*P19) -(1-0.002516*L19)*1571*COS(4*R19-Q19)  -1739*COS(R19-2*P19) -4421*COS(2*P19-2*S19) +(1-0.002516*L19)^2*1165*COS(2*Q19+P19) +8752*COS(2*R19-P19-2*S19))/1000</f>
        <v>401006.369246658</v>
      </c>
      <c r="AV19" s="54" t="n">
        <f aca="false">ATAN(0.99664719*TAN($A$10*input!$E$2))</f>
        <v>0.871010436227447</v>
      </c>
      <c r="AW19" s="54" t="n">
        <f aca="false">COS(AV19)</f>
        <v>0.644053912545845</v>
      </c>
      <c r="AX19" s="54" t="n">
        <f aca="false">0.99664719*SIN(AV19)</f>
        <v>0.762415269897027</v>
      </c>
      <c r="AY19" s="54" t="n">
        <f aca="false">6378.14/AU19</f>
        <v>0.0159053334040109</v>
      </c>
      <c r="AZ19" s="55" t="n">
        <f aca="false">M19-15*AH19</f>
        <v>11.4255089799586</v>
      </c>
      <c r="BA19" s="56" t="n">
        <f aca="false">COS($A$10*AG19)*SIN($A$10*AZ19)</f>
        <v>0.179853490680131</v>
      </c>
      <c r="BB19" s="56" t="n">
        <f aca="false">COS($A$10*AG19)*COS($A$10*AZ19)-AW19*AY19</f>
        <v>0.879684969239077</v>
      </c>
      <c r="BC19" s="56" t="n">
        <f aca="false">SIN($A$10*AG19)-AX19*AY19</f>
        <v>0.407014728451684</v>
      </c>
      <c r="BD19" s="57" t="n">
        <f aca="false">SQRT(BA19^2+BB19^2+BC19^2)</f>
        <v>0.985826512319273</v>
      </c>
      <c r="BE19" s="58" t="n">
        <f aca="false">AU19*BD19</f>
        <v>395322.710412247</v>
      </c>
    </row>
    <row r="20" customFormat="false" ht="15" hidden="false" customHeight="false" outlineLevel="0" collapsed="false">
      <c r="A20" s="22"/>
      <c r="D20" s="41" t="n">
        <f aca="false">K20-INT(275*E20/9)+IF($A$8="common year",2,1)*INT((E20+9)/12)+30</f>
        <v>19</v>
      </c>
      <c r="E20" s="41" t="n">
        <f aca="false">IF(K20&lt;32,1,INT(9*(IF($A$8="common year",2,1)+K20)/275+0.98))</f>
        <v>1</v>
      </c>
      <c r="F20" s="42" t="n">
        <f aca="false">AM20</f>
        <v>61.8389623663366</v>
      </c>
      <c r="G20" s="60" t="n">
        <f aca="false">F20+1.02/(TAN($A$10*(F20+10.3/(F20+5.11)))*60)</f>
        <v>61.8480041629493</v>
      </c>
      <c r="H20" s="43" t="n">
        <f aca="false">100*(1+COS($A$10*AQ20))/2</f>
        <v>98.8633403333425</v>
      </c>
      <c r="I20" s="43" t="n">
        <f aca="false">IF(AI20&gt;180,AT20-180,AT20+180)</f>
        <v>178.674687245769</v>
      </c>
      <c r="J20" s="61" t="n">
        <f aca="false">$J$2+K19</f>
        <v>2459598.5</v>
      </c>
      <c r="K20" s="21" t="n">
        <v>19</v>
      </c>
      <c r="L20" s="62" t="n">
        <f aca="false">(J20-2451545)/36525</f>
        <v>0.220492813141684</v>
      </c>
      <c r="M20" s="63" t="n">
        <f aca="false">MOD(280.46061837+360.98564736629*(J20-2451545)+0.000387933*L20^2-L20^3/38710000+$B$7,360)</f>
        <v>133.371701646131</v>
      </c>
      <c r="N20" s="30" t="n">
        <f aca="false">0.606433+1336.855225*L20 - INT(0.606433+1336.855225*L20)</f>
        <v>0.373402323408641</v>
      </c>
      <c r="O20" s="35" t="n">
        <f aca="false">22640*SIN(P20)-4586*SIN(P20-2*R20)+2370*SIN(2*R20)+769*SIN(2*P20)-668*SIN(Q20)-412*SIN(2*S20)-212*SIN(2*P20-2*R20)-206*SIN(P20+Q20-2*R20)+192*SIN(P20+2*R20)-165*SIN(Q20-2*R20)-125*SIN(R20)-110*SIN(P20+Q20)+148*SIN(P20-Q20)-55*SIN(2*S20-2*R20)</f>
        <v>-15192.7387223476</v>
      </c>
      <c r="P20" s="32" t="n">
        <f aca="false">2*PI()*(0.374897+1325.55241*L20 - INT(0.374897+1325.55241*L20))</f>
        <v>4.08204002349762</v>
      </c>
      <c r="Q20" s="36" t="n">
        <f aca="false">2*PI()*(0.993133+99.997361*L20 - INT(0.993133+99.997361*L20))</f>
        <v>0.262840932375834</v>
      </c>
      <c r="R20" s="36" t="n">
        <f aca="false">2*PI()*(0.827361+1236.853086*L20 - INT(0.827361+1236.853086*L20))</f>
        <v>3.42168056193221</v>
      </c>
      <c r="S20" s="36" t="n">
        <f aca="false">2*PI()*(0.259086+1342.227825*L20 - INT(0.259086+1342.227825*L20))</f>
        <v>1.32371013555004</v>
      </c>
      <c r="T20" s="36" t="n">
        <f aca="false">S20+(O20+412*SIN(2*S20)+541*SIN(Q20))/206264.8062</f>
        <v>1.25168252807762</v>
      </c>
      <c r="U20" s="36" t="n">
        <f aca="false">S20-2*R20</f>
        <v>-5.51965098831438</v>
      </c>
      <c r="V20" s="34" t="n">
        <f aca="false">-526*SIN(U20)+44*SIN(P20+U20)-31*SIN(-P20+U20)-23*SIN(Q20+U20)+11*SIN(-Q20+U20)-25*SIN(-2*P20+S20)+21*SIN(-P20+S20)</f>
        <v>-421.811400086649</v>
      </c>
      <c r="W20" s="36" t="n">
        <f aca="false">2*PI()*(N20+O20/1296000-INT(N20+O20/1296000))</f>
        <v>2.27249951624672</v>
      </c>
      <c r="X20" s="35" t="n">
        <f aca="false">W20*180/PI()</f>
        <v>130.204631226459</v>
      </c>
      <c r="Y20" s="36" t="n">
        <f aca="false">(18520*SIN(T20)+V20)/206264.8062</f>
        <v>0.08320946632814</v>
      </c>
      <c r="Z20" s="36" t="n">
        <f aca="false">Y20*180/PI()</f>
        <v>4.76755123613836</v>
      </c>
      <c r="AA20" s="36" t="n">
        <f aca="false">COS(Y20)*COS(W20)</f>
        <v>-0.643285983843801</v>
      </c>
      <c r="AB20" s="36" t="n">
        <f aca="false">COS(Y20)*SIN(W20)</f>
        <v>0.761101368214553</v>
      </c>
      <c r="AC20" s="36" t="n">
        <f aca="false">SIN(Y20)</f>
        <v>0.0831134784018079</v>
      </c>
      <c r="AD20" s="36" t="n">
        <f aca="false">COS($A$10*(23.4393-46.815*L20/3600))*AB20-SIN($A$10*(23.4393-46.815*L20/3600))*AC20</f>
        <v>0.665255117038755</v>
      </c>
      <c r="AE20" s="36" t="n">
        <f aca="false">SIN($A$10*(23.4393-46.815*L20/3600))*AB20+COS($A$10*(23.4393-46.815*L20/3600))*AC20</f>
        <v>0.378970674648931</v>
      </c>
      <c r="AF20" s="36" t="n">
        <f aca="false">SQRT(1-AE20*AE20)</f>
        <v>0.925408681478694</v>
      </c>
      <c r="AG20" s="35" t="n">
        <f aca="false">ATAN(AE20/AF20)/$A$10</f>
        <v>22.2699384443496</v>
      </c>
      <c r="AH20" s="36" t="n">
        <f aca="false">IF(24*ATAN(AD20/(AA20+AF20))/PI()&gt;0,24*ATAN(AD20/(AA20+AF20))/PI(),24*ATAN(AD20/(AA20+AF20))/PI()+24)</f>
        <v>8.93587666125361</v>
      </c>
      <c r="AI20" s="63" t="n">
        <f aca="false">IF(M20-15*AH20&gt;0,M20-15*AH20,360+M20-15*AH20)</f>
        <v>359.333551727326</v>
      </c>
      <c r="AJ20" s="32" t="n">
        <f aca="false">0.950724+0.051818*COS(P20)+0.009531*COS(2*R20-P20)+0.007843*COS(2*R20)+0.002824*COS(2*P20)+0.000857*COS(2*R20+P20)+0.000533*COS(2*R20-Q20)*(1-0.002495*(J20-2415020)/36525)+0.000401*COS(2*R20-Q20-P20)*(1-0.002495*(J20-2415020)/36525)+0.00032*COS(P20-Q20)*(1-0.002495*(J20-2415020)/36525)-0.000271*COS(R20)</f>
        <v>0.9172534341051</v>
      </c>
      <c r="AK20" s="36" t="n">
        <f aca="false">ASIN(COS($A$10*$B$5)*COS($A$10*AG20)*COS($A$10*AI20)+SIN($A$10*$B$5)*SIN($A$10*AG20))/$A$10</f>
        <v>62.2649839244712</v>
      </c>
      <c r="AL20" s="32" t="n">
        <f aca="false">ASIN((0.9983271+0.0016764*COS($A$10*2*$B$5))*COS($A$10*AK20)*SIN($A$10*AJ20))/$A$10</f>
        <v>0.426021558134685</v>
      </c>
      <c r="AM20" s="32" t="n">
        <f aca="false">AK20-AL20</f>
        <v>61.8389623663366</v>
      </c>
      <c r="AN20" s="35" t="n">
        <f aca="false"> MOD(280.4664567 + 360007.6982779*L20/10 + 0.03032028*L20^2/100 + L20^3/49931000,360)</f>
        <v>298.377486036719</v>
      </c>
      <c r="AO20" s="32" t="n">
        <f aca="false"> AN20 + (1.9146 - 0.004817*L20 - 0.000014*L20^2)*SIN(Q20)+ (0.019993 - 0.000101*L20)*SIN(2*Q20)+ 0.00029*SIN(3*Q20)</f>
        <v>298.884897834818</v>
      </c>
      <c r="AP20" s="32" t="n">
        <f aca="false">ACOS(COS(W20-$A$10*AO20)*COS(Y20))/$A$10</f>
        <v>167.729332942919</v>
      </c>
      <c r="AQ20" s="34" t="n">
        <f aca="false">180 - AP20 -0.1468*(1-0.0549*SIN(Q20))*SIN($A$10*AP20)/(1-0.0167*SIN($A$10*AO20))</f>
        <v>12.2403558928231</v>
      </c>
      <c r="AR20" s="64" t="n">
        <f aca="false">SIN($A$10*AI20)</f>
        <v>-0.0116314543650873</v>
      </c>
      <c r="AS20" s="64" t="n">
        <f aca="false">COS($A$10*AI20)*SIN($A$10*$B$5) - TAN($A$10*AG20)*COS($A$10*$B$5)</f>
        <v>0.502760107582257</v>
      </c>
      <c r="AT20" s="24" t="n">
        <f aca="false">IF(OR(AND(AR20*AS20&gt;0), AND(AR20&lt;0,AS20&gt;0)), MOD(ATAN2(AS20,AR20)/$A$10+360,360),  ATAN2(AS20,AR20)/$A$10)</f>
        <v>358.674687245769</v>
      </c>
      <c r="AU20" s="39" t="n">
        <f aca="false"> 385000.56 + (-20905355*COS(P20) - 3699111*COS(2*R20-P20) - 2955968*COS(2*R20) - 569925*COS(2*P20) + (1-0.002516*L20)*48888*COS(Q20) - 3149*COS(2*S20)  +246158*COS(2*R20-2*P20) -(1 - 0.002516*L20)*152138*COS(2*R20-Q20-P20) -170733*COS(2*R20+P20) -(1 - 0.002516*L20)*204586*COS(2*R20-Q20) -(1 - 0.002516*L20)*129620*COS(Q20-P20)  + 108743*COS(R20) +(1-0.002516*L20)*104755*COS(Q20+P20) +10321*COS(2*R20-2*S20) +79661*COS(P20-2*S20) -34782*COS(4*R20-P20) -23210*COS(3*P20)  -21636*COS(4*R20-2*P20) +(1 - 0.002516*L20)*24208*COS(2*R20+Q20-P20) +(1 - 0.002516*L20)*30824*COS(2*R20+Q20) -8379*COS(R20-P20) -(1 - 0.002516*L20)*16675*COS(R20+Q20)  -(1 - 0.002516*L20)*12831*COS(2*R20-Q20+P20) -10445*COS(2*R20+2*P20) -11650*COS(4*R20) +14403*COS(2*R20-3*P20) -(1-0.002516*L20)*7003*COS(Q20-2*P20)  + (1 - 0.002516*L20)*10056*COS(2*R20-Q20-2*P20) +6322*COS(R20+P20) -(1 - 0.002516*L20)*(1-0.002516*L20)*9884*COS(2*R20-2*Q20) +(1-0.002516*L20)*5751*COS(Q20+2*P20) - (1-0.002516*L20)^2*4950*COS(2*R20-2*Q20-P20)  +4130*COS(2*R20+P20-2*S20) -(1-0.002516*L20)*3958*COS(4*R20-Q20-P20) +3258*COS(3*R20-P20) +(1 - 0.002516*L20)*2616*COS(2*R20+Q20+P20) -(1 - 0.002516*L20)*1897*COS(4*R20-Q20-2*P20)  -(1-0.002516*L20)^2*2117*COS(2*Q20-P20) +(1-0.002516*L20)^2*2354*COS(2*R20+2*Q20-P20) -1423*COS(4*R20+P20) -1117*COS(4*P20) -(1-0.002516*L20)*1571*COS(4*R20-Q20)  -1739*COS(R20-2*P20) -4421*COS(2*P20-2*S20) +(1-0.002516*L20)^2*1165*COS(2*Q20+P20) +8752*COS(2*R20-P20-2*S20))/1000</f>
        <v>398459.834597859</v>
      </c>
      <c r="AV20" s="54" t="n">
        <f aca="false">ATAN(0.99664719*TAN($A$10*input!$E$2))</f>
        <v>0.871010436227447</v>
      </c>
      <c r="AW20" s="54" t="n">
        <f aca="false">COS(AV20)</f>
        <v>0.644053912545845</v>
      </c>
      <c r="AX20" s="54" t="n">
        <f aca="false">0.99664719*SIN(AV20)</f>
        <v>0.762415269897027</v>
      </c>
      <c r="AY20" s="54" t="n">
        <f aca="false">6378.14/AU20</f>
        <v>0.0160069835054694</v>
      </c>
      <c r="AZ20" s="55" t="n">
        <f aca="false">M20-15*AH20</f>
        <v>-0.666448272673648</v>
      </c>
      <c r="BA20" s="56" t="n">
        <f aca="false">COS($A$10*AG20)*SIN($A$10*AZ20)</f>
        <v>-0.0107638488476766</v>
      </c>
      <c r="BB20" s="56" t="n">
        <f aca="false">COS($A$10*AG20)*COS($A$10*AZ20)-AW20*AY20</f>
        <v>0.915036719398177</v>
      </c>
      <c r="BC20" s="56" t="n">
        <f aca="false">SIN($A$10*AG20)-AX20*AY20</f>
        <v>0.366766705999371</v>
      </c>
      <c r="BD20" s="57" t="n">
        <f aca="false">SQRT(BA20^2+BB20^2+BC20^2)</f>
        <v>0.985863010219282</v>
      </c>
      <c r="BE20" s="58" t="n">
        <f aca="false">AU20*BD20</f>
        <v>392826.811988122</v>
      </c>
    </row>
    <row r="21" customFormat="false" ht="15" hidden="false" customHeight="false" outlineLevel="0" collapsed="false">
      <c r="A21" s="22"/>
      <c r="D21" s="41" t="n">
        <f aca="false">K21-INT(275*E21/9)+IF($A$8="common year",2,1)*INT((E21+9)/12)+30</f>
        <v>20</v>
      </c>
      <c r="E21" s="41" t="n">
        <f aca="false">IF(K21&lt;32,1,INT(9*(IF($A$8="common year",2,1)+K21)/275+0.98))</f>
        <v>1</v>
      </c>
      <c r="F21" s="42" t="n">
        <f aca="false">AM21</f>
        <v>56.6791164819245</v>
      </c>
      <c r="G21" s="60" t="n">
        <f aca="false">F21+1.02/(TAN($A$10*(F21+10.3/(F21+5.11)))*60)</f>
        <v>56.6902215668456</v>
      </c>
      <c r="H21" s="43" t="n">
        <f aca="false">100*(1+COS($A$10*AQ21))/2</f>
        <v>95.9538218710024</v>
      </c>
      <c r="I21" s="43" t="n">
        <f aca="false">IF(AI21&gt;180,AT21-180,AT21+180)</f>
        <v>158.021851362998</v>
      </c>
      <c r="J21" s="61" t="n">
        <f aca="false">$J$2+K20</f>
        <v>2459599.5</v>
      </c>
      <c r="K21" s="21" t="n">
        <v>20</v>
      </c>
      <c r="L21" s="62" t="n">
        <f aca="false">(J21-2451545)/36525</f>
        <v>0.220520191649555</v>
      </c>
      <c r="M21" s="63" t="n">
        <f aca="false">MOD(280.46061837+360.98564736629*(J21-2451545)+0.000387933*L21^2-L21^3/38710000+$B$7,360)</f>
        <v>134.357349017169</v>
      </c>
      <c r="N21" s="30" t="n">
        <f aca="false">0.606433+1336.855225*L21 - INT(0.606433+1336.855225*L21)</f>
        <v>0.410003424709089</v>
      </c>
      <c r="O21" s="35" t="n">
        <f aca="false">22640*SIN(P21)-4586*SIN(P21-2*R21)+2370*SIN(2*R21)+769*SIN(2*P21)-668*SIN(Q21)-412*SIN(2*S21)-212*SIN(2*P21-2*R21)-206*SIN(P21+Q21-2*R21)+192*SIN(P21+2*R21)-165*SIN(Q21-2*R21)-125*SIN(R21)-110*SIN(P21+Q21)+148*SIN(P21-Q21)-55*SIN(2*S21-2*R21)</f>
        <v>-17828.3864932887</v>
      </c>
      <c r="P21" s="32" t="n">
        <f aca="false">2*PI()*(0.374897+1325.55241*L21 - INT(0.374897+1325.55241*L21))</f>
        <v>4.31006716727343</v>
      </c>
      <c r="Q21" s="36" t="n">
        <f aca="false">2*PI()*(0.993133+99.997361*L21 - INT(0.993133+99.997361*L21))</f>
        <v>0.280042902242842</v>
      </c>
      <c r="R21" s="36" t="n">
        <f aca="false">2*PI()*(0.827361+1236.853086*L21 - INT(0.827361+1236.853086*L21))</f>
        <v>3.63444927205123</v>
      </c>
      <c r="S21" s="36" t="n">
        <f aca="false">2*PI()*(0.259086+1342.227825*L21 - INT(0.259086+1342.227825*L21))</f>
        <v>1.55460585489104</v>
      </c>
      <c r="T21" s="36" t="n">
        <f aca="false">S21+(O21+412*SIN(2*S21)+541*SIN(Q21))/206264.8062</f>
        <v>1.4689610108228</v>
      </c>
      <c r="U21" s="36" t="n">
        <f aca="false">S21-2*R21</f>
        <v>-5.71429268921142</v>
      </c>
      <c r="V21" s="34" t="n">
        <f aca="false">-526*SIN(U21)+44*SIN(P21+U21)-31*SIN(-P21+U21)-23*SIN(Q21+U21)+11*SIN(-Q21+U21)-25*SIN(-2*P21+S21)+21*SIN(-P21+S21)</f>
        <v>-348.655217609971</v>
      </c>
      <c r="W21" s="36" t="n">
        <f aca="false">2*PI()*(N21+O21/1296000-INT(N21+O21/1296000))</f>
        <v>2.48969303718491</v>
      </c>
      <c r="X21" s="35" t="n">
        <f aca="false">W21*180/PI()</f>
        <v>142.648903313803</v>
      </c>
      <c r="Y21" s="36" t="n">
        <f aca="false">(18520*SIN(T21)+V21)/206264.8062</f>
        <v>0.0876320002419932</v>
      </c>
      <c r="Z21" s="36" t="n">
        <f aca="false">Y21*180/PI()</f>
        <v>5.02094376415562</v>
      </c>
      <c r="AA21" s="36" t="n">
        <f aca="false">COS(Y21)*COS(W21)</f>
        <v>-0.791882403356326</v>
      </c>
      <c r="AB21" s="36" t="n">
        <f aca="false">COS(Y21)*SIN(W21)</f>
        <v>0.604369530364586</v>
      </c>
      <c r="AC21" s="36" t="n">
        <f aca="false">SIN(Y21)</f>
        <v>0.08751988357796</v>
      </c>
      <c r="AD21" s="36" t="n">
        <f aca="false">COS($A$10*(23.4393-46.815*L21/3600))*AB21-SIN($A$10*(23.4393-46.815*L21/3600))*AC21</f>
        <v>0.519700793497967</v>
      </c>
      <c r="AE21" s="36" t="n">
        <f aca="false">SIN($A$10*(23.4393-46.815*L21/3600))*AB21+COS($A$10*(23.4393-46.815*L21/3600))*AC21</f>
        <v>0.320676385928544</v>
      </c>
      <c r="AF21" s="36" t="n">
        <f aca="false">SQRT(1-AE21*AE21)</f>
        <v>0.947188817241741</v>
      </c>
      <c r="AG21" s="35" t="n">
        <f aca="false">ATAN(AE21/AF21)/$A$10</f>
        <v>18.7038347627967</v>
      </c>
      <c r="AH21" s="36" t="n">
        <f aca="false">IF(24*ATAN(AD21/(AA21+AF21))/PI()&gt;0,24*ATAN(AD21/(AA21+AF21))/PI(),24*ATAN(AD21/(AA21+AF21))/PI()+24)</f>
        <v>9.78157984536867</v>
      </c>
      <c r="AI21" s="63" t="n">
        <f aca="false">IF(M21-15*AH21&gt;0,M21-15*AH21,360+M21-15*AH21)</f>
        <v>347.633651336639</v>
      </c>
      <c r="AJ21" s="32" t="n">
        <f aca="false">0.950724+0.051818*COS(P21)+0.009531*COS(2*R21-P21)+0.007843*COS(2*R21)+0.002824*COS(2*P21)+0.000857*COS(2*R21+P21)+0.000533*COS(2*R21-Q21)*(1-0.002495*(J21-2415020)/36525)+0.000401*COS(2*R21-Q21-P21)*(1-0.002495*(J21-2415020)/36525)+0.00032*COS(P21-Q21)*(1-0.002495*(J21-2415020)/36525)-0.000271*COS(R21)</f>
        <v>0.923991858039476</v>
      </c>
      <c r="AK21" s="36" t="n">
        <f aca="false">ASIN(COS($A$10*$B$5)*COS($A$10*AG21)*COS($A$10*AI21)+SIN($A$10*$B$5)*SIN($A$10*AG21))/$A$10</f>
        <v>57.1789370074762</v>
      </c>
      <c r="AL21" s="32" t="n">
        <f aca="false">ASIN((0.9983271+0.0016764*COS($A$10*2*$B$5))*COS($A$10*AK21)*SIN($A$10*AJ21))/$A$10</f>
        <v>0.499820525551775</v>
      </c>
      <c r="AM21" s="32" t="n">
        <f aca="false">AK21-AL21</f>
        <v>56.6791164819245</v>
      </c>
      <c r="AN21" s="35" t="n">
        <f aca="false"> MOD(280.4664567 + 360007.6982779*L21/10 + 0.03032028*L21^2/100 + L21^3/49931000,360)</f>
        <v>299.363133400482</v>
      </c>
      <c r="AO21" s="32" t="n">
        <f aca="false"> AN21 + (1.9146 - 0.004817*L21 - 0.000014*L21^2)*SIN(Q21)+ (0.019993 - 0.000101*L21)*SIN(2*Q21)+ 0.00029*SIN(3*Q21)</f>
        <v>299.902854674856</v>
      </c>
      <c r="AP21" s="32" t="n">
        <f aca="false">ACOS(COS(W21-$A$10*AO21)*COS(Y21))/$A$10</f>
        <v>156.735146045145</v>
      </c>
      <c r="AQ21" s="34" t="n">
        <f aca="false">180 - AP21 -0.1468*(1-0.0549*SIN(Q21))*SIN($A$10*AP21)/(1-0.0167*SIN($A$10*AO21))</f>
        <v>23.2085653189881</v>
      </c>
      <c r="AR21" s="64" t="n">
        <f aca="false">SIN($A$10*AI21)</f>
        <v>-0.214161664533207</v>
      </c>
      <c r="AS21" s="64" t="n">
        <f aca="false">COS($A$10*AI21)*SIN($A$10*$B$5) - TAN($A$10*AG21)*COS($A$10*$B$5)</f>
        <v>0.530651302259185</v>
      </c>
      <c r="AT21" s="24" t="n">
        <f aca="false">IF(OR(AND(AR21*AS21&gt;0), AND(AR21&lt;0,AS21&gt;0)), MOD(ATAN2(AS21,AR21)/$A$10+360,360),  ATAN2(AS21,AR21)/$A$10)</f>
        <v>338.021851362998</v>
      </c>
      <c r="AU21" s="39" t="n">
        <f aca="false"> 385000.56 + (-20905355*COS(P21) - 3699111*COS(2*R21-P21) - 2955968*COS(2*R21) - 569925*COS(2*P21) + (1-0.002516*L21)*48888*COS(Q21) - 3149*COS(2*S21)  +246158*COS(2*R21-2*P21) -(1 - 0.002516*L21)*152138*COS(2*R21-Q21-P21) -170733*COS(2*R21+P21) -(1 - 0.002516*L21)*204586*COS(2*R21-Q21) -(1 - 0.002516*L21)*129620*COS(Q21-P21)  + 108743*COS(R21) +(1-0.002516*L21)*104755*COS(Q21+P21) +10321*COS(2*R21-2*S21) +79661*COS(P21-2*S21) -34782*COS(4*R21-P21) -23210*COS(3*P21)  -21636*COS(4*R21-2*P21) +(1 - 0.002516*L21)*24208*COS(2*R21+Q21-P21) +(1 - 0.002516*L21)*30824*COS(2*R21+Q21) -8379*COS(R21-P21) -(1 - 0.002516*L21)*16675*COS(R21+Q21)  -(1 - 0.002516*L21)*12831*COS(2*R21-Q21+P21) -10445*COS(2*R21+2*P21) -11650*COS(4*R21) +14403*COS(2*R21-3*P21) -(1-0.002516*L21)*7003*COS(Q21-2*P21)  + (1 - 0.002516*L21)*10056*COS(2*R21-Q21-2*P21) +6322*COS(R21+P21) -(1 - 0.002516*L21)*(1-0.002516*L21)*9884*COS(2*R21-2*Q21) +(1-0.002516*L21)*5751*COS(Q21+2*P21) - (1-0.002516*L21)^2*4950*COS(2*R21-2*Q21-P21)  +4130*COS(2*R21+P21-2*S21) -(1-0.002516*L21)*3958*COS(4*R21-Q21-P21) +3258*COS(3*R21-P21) +(1 - 0.002516*L21)*2616*COS(2*R21+Q21+P21) -(1 - 0.002516*L21)*1897*COS(4*R21-Q21-2*P21)  -(1-0.002516*L21)^2*2117*COS(2*Q21-P21) +(1-0.002516*L21)^2*2354*COS(2*R21+2*Q21-P21) -1423*COS(4*R21+P21) -1117*COS(4*P21) -(1-0.002516*L21)*1571*COS(4*R21-Q21)  -1739*COS(R21-2*P21) -4421*COS(2*P21-2*S21) +(1-0.002516*L21)^2*1165*COS(2*Q21+P21) +8752*COS(2*R21-P21-2*S21))/1000</f>
        <v>395568.414456369</v>
      </c>
      <c r="AV21" s="54" t="n">
        <f aca="false">ATAN(0.99664719*TAN($A$10*input!$E$2))</f>
        <v>0.871010436227447</v>
      </c>
      <c r="AW21" s="54" t="n">
        <f aca="false">COS(AV21)</f>
        <v>0.644053912545845</v>
      </c>
      <c r="AX21" s="54" t="n">
        <f aca="false">0.99664719*SIN(AV21)</f>
        <v>0.762415269897027</v>
      </c>
      <c r="AY21" s="54" t="n">
        <f aca="false">6378.14/AU21</f>
        <v>0.0161239870700129</v>
      </c>
      <c r="AZ21" s="55" t="n">
        <f aca="false">M21-15*AH21</f>
        <v>-12.3663486633608</v>
      </c>
      <c r="BA21" s="56" t="n">
        <f aca="false">COS($A$10*AG21)*SIN($A$10*AZ21)</f>
        <v>-0.202851533727731</v>
      </c>
      <c r="BB21" s="56" t="n">
        <f aca="false">COS($A$10*AG21)*COS($A$10*AZ21)-AW21*AY21</f>
        <v>0.914827642866271</v>
      </c>
      <c r="BC21" s="56" t="n">
        <f aca="false">SIN($A$10*AG21)-AX21*AY21</f>
        <v>0.308383211974744</v>
      </c>
      <c r="BD21" s="57" t="n">
        <f aca="false">SQRT(BA21^2+BB21^2+BC21^2)</f>
        <v>0.986487996032293</v>
      </c>
      <c r="BE21" s="58" t="n">
        <f aca="false">AU21*BD21</f>
        <v>390223.492470735</v>
      </c>
    </row>
    <row r="22" customFormat="false" ht="15" hidden="false" customHeight="false" outlineLevel="0" collapsed="false">
      <c r="A22" s="22"/>
      <c r="D22" s="41" t="n">
        <f aca="false">K22-INT(275*E22/9)+IF($A$8="common year",2,1)*INT((E22+9)/12)+30</f>
        <v>21</v>
      </c>
      <c r="E22" s="41" t="n">
        <f aca="false">IF(K22&lt;32,1,INT(9*(IF($A$8="common year",2,1)+K22)/275+0.98))</f>
        <v>1</v>
      </c>
      <c r="F22" s="42" t="n">
        <f aca="false">AM22</f>
        <v>48.80219795153</v>
      </c>
      <c r="G22" s="60" t="n">
        <f aca="false">F22+1.02/(TAN($A$10*(F22+10.3/(F22+5.11)))*60)</f>
        <v>48.8169793429534</v>
      </c>
      <c r="H22" s="43" t="n">
        <f aca="false">100*(1+COS($A$10*AQ22))/2</f>
        <v>91.1630586342729</v>
      </c>
      <c r="I22" s="43" t="n">
        <f aca="false">IF(AI22&gt;180,AT22-180,AT22+180)</f>
        <v>143.312933207703</v>
      </c>
      <c r="J22" s="61" t="n">
        <f aca="false">$J$2+K21</f>
        <v>2459600.5</v>
      </c>
      <c r="K22" s="21" t="n">
        <v>21</v>
      </c>
      <c r="L22" s="62" t="n">
        <f aca="false">(J22-2451545)/36525</f>
        <v>0.220547570157426</v>
      </c>
      <c r="M22" s="63" t="n">
        <f aca="false">MOD(280.46061837+360.98564736629*(J22-2451545)+0.000387933*L22^2-L22^3/38710000+$B$7,360)</f>
        <v>135.342996388208</v>
      </c>
      <c r="N22" s="30" t="n">
        <f aca="false">0.606433+1336.855225*L22 - INT(0.606433+1336.855225*L22)</f>
        <v>0.446604526009594</v>
      </c>
      <c r="O22" s="35" t="n">
        <f aca="false">22640*SIN(P22)-4586*SIN(P22-2*R22)+2370*SIN(2*R22)+769*SIN(2*P22)-668*SIN(Q22)-412*SIN(2*S22)-212*SIN(2*P22-2*R22)-206*SIN(P22+Q22-2*R22)+192*SIN(P22+2*R22)-165*SIN(Q22-2*R22)-125*SIN(R22)-110*SIN(P22+Q22)+148*SIN(P22-Q22)-55*SIN(2*S22-2*R22)</f>
        <v>-19839.1487800481</v>
      </c>
      <c r="P22" s="32" t="n">
        <f aca="false">2*PI()*(0.374897+1325.55241*L22 - INT(0.374897+1325.55241*L22))</f>
        <v>4.5380943110489</v>
      </c>
      <c r="Q22" s="36" t="n">
        <f aca="false">2*PI()*(0.993133+99.997361*L22 - INT(0.993133+99.997361*L22))</f>
        <v>0.297244872109827</v>
      </c>
      <c r="R22" s="36" t="n">
        <f aca="false">2*PI()*(0.827361+1236.853086*L22 - INT(0.827361+1236.853086*L22))</f>
        <v>3.84721798217026</v>
      </c>
      <c r="S22" s="36" t="n">
        <f aca="false">2*PI()*(0.259086+1342.227825*L22 - INT(0.259086+1342.227825*L22))</f>
        <v>1.78550157423204</v>
      </c>
      <c r="T22" s="36" t="n">
        <f aca="false">S22+(O22+412*SIN(2*S22)+541*SIN(Q22))/206264.8062</f>
        <v>1.68925526229053</v>
      </c>
      <c r="U22" s="36" t="n">
        <f aca="false">S22-2*R22</f>
        <v>-5.90893439010847</v>
      </c>
      <c r="V22" s="34" t="n">
        <f aca="false">-526*SIN(U22)+44*SIN(P22+U22)-31*SIN(-P22+U22)-23*SIN(Q22+U22)+11*SIN(-Q22+U22)-25*SIN(-2*P22+S22)+21*SIN(-P22+S22)</f>
        <v>-262.158184421269</v>
      </c>
      <c r="W22" s="36" t="n">
        <f aca="false">2*PI()*(N22+O22/1296000-INT(N22+O22/1296000))</f>
        <v>2.70991608844204</v>
      </c>
      <c r="X22" s="35" t="n">
        <f aca="false">W22*180/PI()</f>
        <v>155.266754702329</v>
      </c>
      <c r="Y22" s="36" t="n">
        <f aca="false">(18520*SIN(T22)+V22)/206264.8062</f>
        <v>0.0878872789739532</v>
      </c>
      <c r="Z22" s="36" t="n">
        <f aca="false">Y22*180/PI()</f>
        <v>5.03557015809638</v>
      </c>
      <c r="AA22" s="36" t="n">
        <f aca="false">COS(Y22)*COS(W22)</f>
        <v>-0.90476001824628</v>
      </c>
      <c r="AB22" s="36" t="n">
        <f aca="false">COS(Y22)*SIN(W22)</f>
        <v>0.416779321376565</v>
      </c>
      <c r="AC22" s="36" t="n">
        <f aca="false">SIN(Y22)</f>
        <v>0.0877741798929583</v>
      </c>
      <c r="AD22" s="36" t="n">
        <f aca="false">COS($A$10*(23.4393-46.815*L22/3600))*AB22-SIN($A$10*(23.4393-46.815*L22/3600))*AC22</f>
        <v>0.347485278707362</v>
      </c>
      <c r="AE22" s="36" t="n">
        <f aca="false">SIN($A$10*(23.4393-46.815*L22/3600))*AB22+COS($A$10*(23.4393-46.815*L22/3600))*AC22</f>
        <v>0.246299188924078</v>
      </c>
      <c r="AF22" s="36" t="n">
        <f aca="false">SQRT(1-AE22*AE22)</f>
        <v>0.969193845180283</v>
      </c>
      <c r="AG22" s="35" t="n">
        <f aca="false">ATAN(AE22/AF22)/$A$10</f>
        <v>14.2586247547136</v>
      </c>
      <c r="AH22" s="36" t="n">
        <f aca="false">IF(24*ATAN(AD22/(AA22+AF22))/PI()&gt;0,24*ATAN(AD22/(AA22+AF22))/PI(),24*ATAN(AD22/(AA22+AF22))/PI()+24)</f>
        <v>10.5993360689046</v>
      </c>
      <c r="AI22" s="63" t="n">
        <f aca="false">IF(M22-15*AH22&gt;0,M22-15*AH22,360+M22-15*AH22)</f>
        <v>336.352955354639</v>
      </c>
      <c r="AJ22" s="32" t="n">
        <f aca="false">0.950724+0.051818*COS(P22)+0.009531*COS(2*R22-P22)+0.007843*COS(2*R22)+0.002824*COS(2*P22)+0.000857*COS(2*R22+P22)+0.000533*COS(2*R22-Q22)*(1-0.002495*(J22-2415020)/36525)+0.000401*COS(2*R22-Q22-P22)*(1-0.002495*(J22-2415020)/36525)+0.00032*COS(P22-Q22)*(1-0.002495*(J22-2415020)/36525)-0.000271*COS(R22)</f>
        <v>0.931521451252333</v>
      </c>
      <c r="AK22" s="36" t="n">
        <f aca="false">ASIN(COS($A$10*$B$5)*COS($A$10*AG22)*COS($A$10*AI22)+SIN($A$10*$B$5)*SIN($A$10*AG22))/$A$10</f>
        <v>49.4071144292288</v>
      </c>
      <c r="AL22" s="32" t="n">
        <f aca="false">ASIN((0.9983271+0.0016764*COS($A$10*2*$B$5))*COS($A$10*AK22)*SIN($A$10*AJ22))/$A$10</f>
        <v>0.604916477698777</v>
      </c>
      <c r="AM22" s="32" t="n">
        <f aca="false">AK22-AL22</f>
        <v>48.80219795153</v>
      </c>
      <c r="AN22" s="35" t="n">
        <f aca="false"> MOD(280.4664567 + 360007.6982779*L22/10 + 0.03032028*L22^2/100 + L22^3/49931000,360)</f>
        <v>300.348780764247</v>
      </c>
      <c r="AO22" s="32" t="n">
        <f aca="false"> AN22 + (1.9146 - 0.004817*L22 - 0.000014*L22^2)*SIN(Q22)+ (0.019993 - 0.000101*L22)*SIN(2*Q22)+ 0.00029*SIN(3*Q22)</f>
        <v>300.920641878203</v>
      </c>
      <c r="AP22" s="32" t="n">
        <f aca="false">ACOS(COS(W22-$A$10*AO22)*COS(Y22))/$A$10</f>
        <v>145.331594310481</v>
      </c>
      <c r="AQ22" s="34" t="n">
        <f aca="false">180 - AP22 -0.1468*(1-0.0549*SIN(Q22))*SIN($A$10*AP22)/(1-0.0167*SIN($A$10*AO22))</f>
        <v>34.5874051784322</v>
      </c>
      <c r="AR22" s="64" t="n">
        <f aca="false">SIN($A$10*AI22)</f>
        <v>-0.401101308254943</v>
      </c>
      <c r="AS22" s="64" t="n">
        <f aca="false">COS($A$10*AI22)*SIN($A$10*$B$5) - TAN($A$10*AG22)*COS($A$10*$B$5)</f>
        <v>0.538372265679012</v>
      </c>
      <c r="AT22" s="24" t="n">
        <f aca="false">IF(OR(AND(AR22*AS22&gt;0), AND(AR22&lt;0,AS22&gt;0)), MOD(ATAN2(AS22,AR22)/$A$10+360,360),  ATAN2(AS22,AR22)/$A$10)</f>
        <v>323.312933207703</v>
      </c>
      <c r="AU22" s="39" t="n">
        <f aca="false"> 385000.56 + (-20905355*COS(P22) - 3699111*COS(2*R22-P22) - 2955968*COS(2*R22) - 569925*COS(2*P22) + (1-0.002516*L22)*48888*COS(Q22) - 3149*COS(2*S22)  +246158*COS(2*R22-2*P22) -(1 - 0.002516*L22)*152138*COS(2*R22-Q22-P22) -170733*COS(2*R22+P22) -(1 - 0.002516*L22)*204586*COS(2*R22-Q22) -(1 - 0.002516*L22)*129620*COS(Q22-P22)  + 108743*COS(R22) +(1-0.002516*L22)*104755*COS(Q22+P22) +10321*COS(2*R22-2*S22) +79661*COS(P22-2*S22) -34782*COS(4*R22-P22) -23210*COS(3*P22)  -21636*COS(4*R22-2*P22) +(1 - 0.002516*L22)*24208*COS(2*R22+Q22-P22) +(1 - 0.002516*L22)*30824*COS(2*R22+Q22) -8379*COS(R22-P22) -(1 - 0.002516*L22)*16675*COS(R22+Q22)  -(1 - 0.002516*L22)*12831*COS(2*R22-Q22+P22) -10445*COS(2*R22+2*P22) -11650*COS(4*R22) +14403*COS(2*R22-3*P22) -(1-0.002516*L22)*7003*COS(Q22-2*P22)  + (1 - 0.002516*L22)*10056*COS(2*R22-Q22-2*P22) +6322*COS(R22+P22) -(1 - 0.002516*L22)*(1-0.002516*L22)*9884*COS(2*R22-2*Q22) +(1-0.002516*L22)*5751*COS(Q22+2*P22) - (1-0.002516*L22)^2*4950*COS(2*R22-2*Q22-P22)  +4130*COS(2*R22+P22-2*S22) -(1-0.002516*L22)*3958*COS(4*R22-Q22-P22) +3258*COS(3*R22-P22) +(1 - 0.002516*L22)*2616*COS(2*R22+Q22+P22) -(1 - 0.002516*L22)*1897*COS(4*R22-Q22-2*P22)  -(1-0.002516*L22)^2*2117*COS(2*Q22-P22) +(1-0.002516*L22)^2*2354*COS(2*R22+2*Q22-P22) -1423*COS(4*R22+P22) -1117*COS(4*P22) -(1-0.002516*L22)*1571*COS(4*R22-Q22)  -1739*COS(R22-2*P22) -4421*COS(2*P22-2*S22) +(1-0.002516*L22)^2*1165*COS(2*Q22+P22) +8752*COS(2*R22-P22-2*S22))/1000</f>
        <v>392374.303167211</v>
      </c>
      <c r="AV22" s="54" t="n">
        <f aca="false">ATAN(0.99664719*TAN($A$10*input!$E$2))</f>
        <v>0.871010436227447</v>
      </c>
      <c r="AW22" s="54" t="n">
        <f aca="false">COS(AV22)</f>
        <v>0.644053912545845</v>
      </c>
      <c r="AX22" s="54" t="n">
        <f aca="false">0.99664719*SIN(AV22)</f>
        <v>0.762415269897027</v>
      </c>
      <c r="AY22" s="54" t="n">
        <f aca="false">6378.14/AU22</f>
        <v>0.0162552439049046</v>
      </c>
      <c r="AZ22" s="55" t="n">
        <f aca="false">M22-15*AH22</f>
        <v>-23.6470446453605</v>
      </c>
      <c r="BA22" s="56" t="n">
        <f aca="false">COS($A$10*AG22)*SIN($A$10*AZ22)</f>
        <v>-0.388744919254451</v>
      </c>
      <c r="BB22" s="56" t="n">
        <f aca="false">COS($A$10*AG22)*COS($A$10*AZ22)-AW22*AY22</f>
        <v>0.877344971100072</v>
      </c>
      <c r="BC22" s="56" t="n">
        <f aca="false">SIN($A$10*AG22)-AX22*AY22</f>
        <v>0.233905942755078</v>
      </c>
      <c r="BD22" s="57" t="n">
        <f aca="false">SQRT(BA22^2+BB22^2+BC22^2)</f>
        <v>0.987708864300041</v>
      </c>
      <c r="BE22" s="58" t="n">
        <f aca="false">AU22*BD22</f>
        <v>387551.577361806</v>
      </c>
    </row>
    <row r="23" customFormat="false" ht="15" hidden="false" customHeight="false" outlineLevel="0" collapsed="false">
      <c r="A23" s="22"/>
      <c r="D23" s="41" t="n">
        <f aca="false">K23-INT(275*E23/9)+IF($A$8="common year",2,1)*INT((E23+9)/12)+30</f>
        <v>22</v>
      </c>
      <c r="E23" s="41" t="n">
        <f aca="false">IF(K23&lt;32,1,INT(9*(IF($A$8="common year",2,1)+K23)/275+0.98))</f>
        <v>1</v>
      </c>
      <c r="F23" s="42" t="n">
        <f aca="false">AM23</f>
        <v>39.3775658756562</v>
      </c>
      <c r="G23" s="60" t="n">
        <f aca="false">F23+1.02/(TAN($A$10*(F23+10.3/(F23+5.11)))*60)</f>
        <v>39.3981087080384</v>
      </c>
      <c r="H23" s="43" t="n">
        <f aca="false">100*(1+COS($A$10*AQ23))/2</f>
        <v>84.5972336496449</v>
      </c>
      <c r="I23" s="43" t="n">
        <f aca="false">IF(AI23&gt;180,AT23-180,AT23+180)</f>
        <v>132.883807043159</v>
      </c>
      <c r="J23" s="61" t="n">
        <f aca="false">$J$2+K22</f>
        <v>2459601.5</v>
      </c>
      <c r="K23" s="21" t="n">
        <v>22</v>
      </c>
      <c r="L23" s="62" t="n">
        <f aca="false">(J23-2451545)/36525</f>
        <v>0.220574948665298</v>
      </c>
      <c r="M23" s="63" t="n">
        <f aca="false">MOD(280.46061837+360.98564736629*(J23-2451545)+0.000387933*L23^2-L23^3/38710000+$B$7,360)</f>
        <v>136.328643759247</v>
      </c>
      <c r="N23" s="30" t="n">
        <f aca="false">0.606433+1336.855225*L23 - INT(0.606433+1336.855225*L23)</f>
        <v>0.483205627310042</v>
      </c>
      <c r="O23" s="35" t="n">
        <f aca="false">22640*SIN(P23)-4586*SIN(P23-2*R23)+2370*SIN(2*R23)+769*SIN(2*P23)-668*SIN(Q23)-412*SIN(2*S23)-212*SIN(2*P23-2*R23)-206*SIN(P23+Q23-2*R23)+192*SIN(P23+2*R23)-165*SIN(Q23-2*R23)-125*SIN(R23)-110*SIN(P23+Q23)+148*SIN(P23-Q23)-55*SIN(2*S23-2*R23)</f>
        <v>-21204.2360021517</v>
      </c>
      <c r="P23" s="32" t="n">
        <f aca="false">2*PI()*(0.374897+1325.55241*L23 - INT(0.374897+1325.55241*L23))</f>
        <v>4.76612145482471</v>
      </c>
      <c r="Q23" s="36" t="n">
        <f aca="false">2*PI()*(0.993133+99.997361*L23 - INT(0.993133+99.997361*L23))</f>
        <v>0.314446841976834</v>
      </c>
      <c r="R23" s="36" t="n">
        <f aca="false">2*PI()*(0.827361+1236.853086*L23 - INT(0.827361+1236.853086*L23))</f>
        <v>4.05998669228892</v>
      </c>
      <c r="S23" s="36" t="n">
        <f aca="false">2*PI()*(0.259086+1342.227825*L23 - INT(0.259086+1342.227825*L23))</f>
        <v>2.01639729357305</v>
      </c>
      <c r="T23" s="36" t="n">
        <f aca="false">S23+(O23+412*SIN(2*S23)+541*SIN(Q23))/206264.8062</f>
        <v>1.9128538182921</v>
      </c>
      <c r="U23" s="36" t="n">
        <f aca="false">S23-2*R23</f>
        <v>-6.1035760910048</v>
      </c>
      <c r="V23" s="34" t="n">
        <f aca="false">-526*SIN(U23)+44*SIN(P23+U23)-31*SIN(-P23+U23)-23*SIN(Q23+U23)+11*SIN(-Q23+U23)-25*SIN(-2*P23+S23)+21*SIN(-P23+S23)</f>
        <v>-164.350816712922</v>
      </c>
      <c r="W23" s="36" t="n">
        <f aca="false">2*PI()*(N23+O23/1296000-INT(N23+O23/1296000))</f>
        <v>2.93326946074777</v>
      </c>
      <c r="X23" s="35" t="n">
        <f aca="false">W23*180/PI()</f>
        <v>168.063960275462</v>
      </c>
      <c r="Y23" s="36" t="n">
        <f aca="false">(18520*SIN(T23)+V23)/206264.8062</f>
        <v>0.0837889968744398</v>
      </c>
      <c r="Z23" s="36" t="n">
        <f aca="false">Y23*180/PI()</f>
        <v>4.80075589054025</v>
      </c>
      <c r="AA23" s="36" t="n">
        <f aca="false">COS(Y23)*COS(W23)</f>
        <v>-0.974946693332701</v>
      </c>
      <c r="AB23" s="36" t="n">
        <f aca="false">COS(Y23)*SIN(W23)</f>
        <v>0.206094064398033</v>
      </c>
      <c r="AC23" s="36" t="n">
        <f aca="false">SIN(Y23)</f>
        <v>0.0836909898348132</v>
      </c>
      <c r="AD23" s="36" t="n">
        <f aca="false">COS($A$10*(23.4393-46.815*L23/3600))*AB23-SIN($A$10*(23.4393-46.815*L23/3600))*AC23</f>
        <v>0.155805166658041</v>
      </c>
      <c r="AE23" s="36" t="n">
        <f aca="false">SIN($A$10*(23.4393-46.815*L23/3600))*AB23+COS($A$10*(23.4393-46.815*L23/3600))*AC23</f>
        <v>0.158756717030466</v>
      </c>
      <c r="AF23" s="36" t="n">
        <f aca="false">SQRT(1-AE23*AE23)</f>
        <v>0.987317732443669</v>
      </c>
      <c r="AG23" s="35" t="n">
        <f aca="false">ATAN(AE23/AF23)/$A$10</f>
        <v>9.13473900511407</v>
      </c>
      <c r="AH23" s="36" t="n">
        <f aca="false">IF(24*ATAN(AD23/(AA23+AF23))/PI()&gt;0,24*ATAN(AD23/(AA23+AF23))/PI(),24*ATAN(AD23/(AA23+AF23))/PI()+24)</f>
        <v>11.3946932571099</v>
      </c>
      <c r="AI23" s="63" t="n">
        <f aca="false">IF(M23-15*AH23&gt;0,M23-15*AH23,360+M23-15*AH23)</f>
        <v>325.408244902598</v>
      </c>
      <c r="AJ23" s="32" t="n">
        <f aca="false">0.950724+0.051818*COS(P23)+0.009531*COS(2*R23-P23)+0.007843*COS(2*R23)+0.002824*COS(2*P23)+0.000857*COS(2*R23+P23)+0.000533*COS(2*R23-Q23)*(1-0.002495*(J23-2415020)/36525)+0.000401*COS(2*R23-Q23-P23)*(1-0.002495*(J23-2415020)/36525)+0.00032*COS(P23-Q23)*(1-0.002495*(J23-2415020)/36525)-0.000271*COS(R23)</f>
        <v>0.939844402045788</v>
      </c>
      <c r="AK23" s="36" t="n">
        <f aca="false">ASIN(COS($A$10*$B$5)*COS($A$10*AG23)*COS($A$10*AI23)+SIN($A$10*$B$5)*SIN($A$10*AG23))/$A$10</f>
        <v>40.0950992890222</v>
      </c>
      <c r="AL23" s="32" t="n">
        <f aca="false">ASIN((0.9983271+0.0016764*COS($A$10*2*$B$5))*COS($A$10*AK23)*SIN($A$10*AJ23))/$A$10</f>
        <v>0.717533413365984</v>
      </c>
      <c r="AM23" s="32" t="n">
        <f aca="false">AK23-AL23</f>
        <v>39.3775658756562</v>
      </c>
      <c r="AN23" s="35" t="n">
        <f aca="false"> MOD(280.4664567 + 360007.6982779*L23/10 + 0.03032028*L23^2/100 + L23^3/49931000,360)</f>
        <v>301.334428128012</v>
      </c>
      <c r="AO23" s="32" t="n">
        <f aca="false"> AN23 + (1.9146 - 0.004817*L23 - 0.000014*L23^2)*SIN(Q23)+ (0.019993 - 0.000101*L23)*SIN(2*Q23)+ 0.00029*SIN(3*Q23)</f>
        <v>301.938249400745</v>
      </c>
      <c r="AP23" s="32" t="n">
        <f aca="false">ACOS(COS(W23-$A$10*AO23)*COS(Y23))/$A$10</f>
        <v>133.681340824833</v>
      </c>
      <c r="AQ23" s="34" t="n">
        <f aca="false">180 - AP23 -0.1468*(1-0.0549*SIN(Q23))*SIN($A$10*AP23)/(1-0.0167*SIN($A$10*AO23))</f>
        <v>46.2157555969794</v>
      </c>
      <c r="AR23" s="64" t="n">
        <f aca="false">SIN($A$10*AI23)</f>
        <v>-0.56772528927719</v>
      </c>
      <c r="AS23" s="64" t="n">
        <f aca="false">COS($A$10*AI23)*SIN($A$10*$B$5) - TAN($A$10*AG23)*COS($A$10*$B$5)</f>
        <v>0.527263970228557</v>
      </c>
      <c r="AT23" s="24" t="n">
        <f aca="false">IF(OR(AND(AR23*AS23&gt;0), AND(AR23&lt;0,AS23&gt;0)), MOD(ATAN2(AS23,AR23)/$A$10+360,360),  ATAN2(AS23,AR23)/$A$10)</f>
        <v>312.883807043159</v>
      </c>
      <c r="AU23" s="39" t="n">
        <f aca="false"> 385000.56 + (-20905355*COS(P23) - 3699111*COS(2*R23-P23) - 2955968*COS(2*R23) - 569925*COS(2*P23) + (1-0.002516*L23)*48888*COS(Q23) - 3149*COS(2*S23)  +246158*COS(2*R23-2*P23) -(1 - 0.002516*L23)*152138*COS(2*R23-Q23-P23) -170733*COS(2*R23+P23) -(1 - 0.002516*L23)*204586*COS(2*R23-Q23) -(1 - 0.002516*L23)*129620*COS(Q23-P23)  + 108743*COS(R23) +(1-0.002516*L23)*104755*COS(Q23+P23) +10321*COS(2*R23-2*S23) +79661*COS(P23-2*S23) -34782*COS(4*R23-P23) -23210*COS(3*P23)  -21636*COS(4*R23-2*P23) +(1 - 0.002516*L23)*24208*COS(2*R23+Q23-P23) +(1 - 0.002516*L23)*30824*COS(2*R23+Q23) -8379*COS(R23-P23) -(1 - 0.002516*L23)*16675*COS(R23+Q23)  -(1 - 0.002516*L23)*12831*COS(2*R23-Q23+P23) -10445*COS(2*R23+2*P23) -11650*COS(4*R23) +14403*COS(2*R23-3*P23) -(1-0.002516*L23)*7003*COS(Q23-2*P23)  + (1 - 0.002516*L23)*10056*COS(2*R23-Q23-2*P23) +6322*COS(R23+P23) -(1 - 0.002516*L23)*(1-0.002516*L23)*9884*COS(2*R23-2*Q23) +(1-0.002516*L23)*5751*COS(Q23+2*P23) - (1-0.002516*L23)^2*4950*COS(2*R23-2*Q23-P23)  +4130*COS(2*R23+P23-2*S23) -(1-0.002516*L23)*3958*COS(4*R23-Q23-P23) +3258*COS(3*R23-P23) +(1 - 0.002516*L23)*2616*COS(2*R23+Q23+P23) -(1 - 0.002516*L23)*1897*COS(4*R23-Q23-2*P23)  -(1-0.002516*L23)^2*2117*COS(2*Q23-P23) +(1-0.002516*L23)^2*2354*COS(2*R23+2*Q23-P23) -1423*COS(4*R23+P23) -1117*COS(4*P23) -(1-0.002516*L23)*1571*COS(4*R23-Q23)  -1739*COS(R23-2*P23) -4421*COS(2*P23-2*S23) +(1-0.002516*L23)^2*1165*COS(2*Q23+P23) +8752*COS(2*R23-P23-2*S23))/1000</f>
        <v>388896.770711802</v>
      </c>
      <c r="AV23" s="54" t="n">
        <f aca="false">ATAN(0.99664719*TAN($A$10*input!$E$2))</f>
        <v>0.871010436227447</v>
      </c>
      <c r="AW23" s="54" t="n">
        <f aca="false">COS(AV23)</f>
        <v>0.644053912545845</v>
      </c>
      <c r="AX23" s="54" t="n">
        <f aca="false">0.99664719*SIN(AV23)</f>
        <v>0.762415269897027</v>
      </c>
      <c r="AY23" s="54" t="n">
        <f aca="false">6378.14/AU23</f>
        <v>0.0164005990286986</v>
      </c>
      <c r="AZ23" s="55" t="n">
        <f aca="false">M23-15*AH23</f>
        <v>-34.5917550974017</v>
      </c>
      <c r="BA23" s="56" t="n">
        <f aca="false">COS($A$10*AG23)*SIN($A$10*AZ23)</f>
        <v>-0.560525245260083</v>
      </c>
      <c r="BB23" s="56" t="n">
        <f aca="false">COS($A$10*AG23)*COS($A$10*AZ23)-AW23*AY23</f>
        <v>0.802214931289189</v>
      </c>
      <c r="BC23" s="56" t="n">
        <f aca="false">SIN($A$10*AG23)-AX23*AY23</f>
        <v>0.146252649895528</v>
      </c>
      <c r="BD23" s="57" t="n">
        <f aca="false">SQRT(BA23^2+BB23^2+BC23^2)</f>
        <v>0.989508556890064</v>
      </c>
      <c r="BE23" s="58" t="n">
        <f aca="false">AU23*BD23</f>
        <v>384816.682366241</v>
      </c>
    </row>
    <row r="24" customFormat="false" ht="15" hidden="false" customHeight="false" outlineLevel="0" collapsed="false">
      <c r="A24" s="22"/>
      <c r="D24" s="41" t="n">
        <f aca="false">K24-INT(275*E24/9)+IF($A$8="common year",2,1)*INT((E24+9)/12)+30</f>
        <v>23</v>
      </c>
      <c r="E24" s="41" t="n">
        <f aca="false">IF(K24&lt;32,1,INT(9*(IF($A$8="common year",2,1)+K24)/275+0.98))</f>
        <v>1</v>
      </c>
      <c r="F24" s="42" t="n">
        <f aca="false">AM24</f>
        <v>29.0477849366511</v>
      </c>
      <c r="G24" s="60" t="n">
        <f aca="false">F24+1.02/(TAN($A$10*(F24+10.3/(F24+5.11)))*60)</f>
        <v>29.0780175640073</v>
      </c>
      <c r="H24" s="43" t="n">
        <f aca="false">100*(1+COS($A$10*AQ24))/2</f>
        <v>76.437960092551</v>
      </c>
      <c r="I24" s="43" t="n">
        <f aca="false">IF(AI24&gt;180,AT24-180,AT24+180)</f>
        <v>125.00316931068</v>
      </c>
      <c r="J24" s="61" t="n">
        <f aca="false">$J$2+K23</f>
        <v>2459602.5</v>
      </c>
      <c r="K24" s="21" t="n">
        <v>23</v>
      </c>
      <c r="L24" s="62" t="n">
        <f aca="false">(J24-2451545)/36525</f>
        <v>0.220602327173169</v>
      </c>
      <c r="M24" s="63" t="n">
        <f aca="false">MOD(280.46061837+360.98564736629*(J24-2451545)+0.000387933*L24^2-L24^3/38710000+$B$7,360)</f>
        <v>137.314291130286</v>
      </c>
      <c r="N24" s="30" t="n">
        <f aca="false">0.606433+1336.855225*L24 - INT(0.606433+1336.855225*L24)</f>
        <v>0.51980672861049</v>
      </c>
      <c r="O24" s="35" t="n">
        <f aca="false">22640*SIN(P24)-4586*SIN(P24-2*R24)+2370*SIN(2*R24)+769*SIN(2*P24)-668*SIN(Q24)-412*SIN(2*S24)-212*SIN(2*P24-2*R24)-206*SIN(P24+Q24-2*R24)+192*SIN(P24+2*R24)-165*SIN(Q24-2*R24)-125*SIN(R24)-110*SIN(P24+Q24)+148*SIN(P24-Q24)-55*SIN(2*S24-2*R24)</f>
        <v>-21876.1041954474</v>
      </c>
      <c r="P24" s="32" t="n">
        <f aca="false">2*PI()*(0.374897+1325.55241*L24 - INT(0.374897+1325.55241*L24))</f>
        <v>4.99414859860017</v>
      </c>
      <c r="Q24" s="36" t="n">
        <f aca="false">2*PI()*(0.993133+99.997361*L24 - INT(0.993133+99.997361*L24))</f>
        <v>0.331648811843796</v>
      </c>
      <c r="R24" s="36" t="n">
        <f aca="false">2*PI()*(0.827361+1236.853086*L24 - INT(0.827361+1236.853086*L24))</f>
        <v>4.27275540240795</v>
      </c>
      <c r="S24" s="36" t="n">
        <f aca="false">2*PI()*(0.259086+1342.227825*L24 - INT(0.259086+1342.227825*L24))</f>
        <v>2.2472930129137</v>
      </c>
      <c r="T24" s="36" t="n">
        <f aca="false">S24+(O24+412*SIN(2*S24)+541*SIN(Q24))/206264.8062</f>
        <v>2.14013842846173</v>
      </c>
      <c r="U24" s="36" t="n">
        <f aca="false">S24-2*R24</f>
        <v>-6.2982177919022</v>
      </c>
      <c r="V24" s="34" t="n">
        <f aca="false">-526*SIN(U24)+44*SIN(P24+U24)-31*SIN(-P24+U24)-23*SIN(Q24+U24)+11*SIN(-Q24+U24)-25*SIN(-2*P24+S24)+21*SIN(-P24+S24)</f>
        <v>-58.3159137388224</v>
      </c>
      <c r="W24" s="36" t="n">
        <f aca="false">2*PI()*(N24+O24/1296000-INT(N24+O24/1296000))</f>
        <v>3.15998365374521</v>
      </c>
      <c r="X24" s="35" t="n">
        <f aca="false">W24*180/PI()</f>
        <v>181.05372668993</v>
      </c>
      <c r="Y24" s="36" t="n">
        <f aca="false">(18520*SIN(T24)+V24)/206264.8062</f>
        <v>0.0753413152935473</v>
      </c>
      <c r="Z24" s="36" t="n">
        <f aca="false">Y24*180/PI()</f>
        <v>4.3167393892847</v>
      </c>
      <c r="AA24" s="36" t="n">
        <f aca="false">COS(Y24)*COS(W24)</f>
        <v>-0.996994555429361</v>
      </c>
      <c r="AB24" s="36" t="n">
        <f aca="false">COS(Y24)*SIN(W24)</f>
        <v>-0.0183377945277494</v>
      </c>
      <c r="AC24" s="36" t="n">
        <f aca="false">SIN(Y24)</f>
        <v>0.0752700586957996</v>
      </c>
      <c r="AD24" s="36" t="n">
        <f aca="false">COS($A$10*(23.4393-46.815*L24/3600))*AB24-SIN($A$10*(23.4393-46.815*L24/3600))*AC24</f>
        <v>-0.0467622244378929</v>
      </c>
      <c r="AE24" s="36" t="n">
        <f aca="false">SIN($A$10*(23.4393-46.815*L24/3600))*AB24+COS($A$10*(23.4393-46.815*L24/3600))*AC24</f>
        <v>0.061766907076777</v>
      </c>
      <c r="AF24" s="36" t="n">
        <f aca="false">SQRT(1-AE24*AE24)</f>
        <v>0.998090601694139</v>
      </c>
      <c r="AG24" s="35" t="n">
        <f aca="false">ATAN(AE24/AF24)/$A$10</f>
        <v>3.54123725358077</v>
      </c>
      <c r="AH24" s="36" t="n">
        <f aca="false">IF(24*ATAN(AD24/(AA24+AF24))/PI()&gt;0,24*ATAN(AD24/(AA24+AF24))/PI(),24*ATAN(AD24/(AA24+AF24))/PI()+24)</f>
        <v>12.1790257832262</v>
      </c>
      <c r="AI24" s="63" t="n">
        <f aca="false">IF(M24-15*AH24&gt;0,M24-15*AH24,360+M24-15*AH24)</f>
        <v>314.628904381893</v>
      </c>
      <c r="AJ24" s="32" t="n">
        <f aca="false">0.950724+0.051818*COS(P24)+0.009531*COS(2*R24-P24)+0.007843*COS(2*R24)+0.002824*COS(2*P24)+0.000857*COS(2*R24+P24)+0.000533*COS(2*R24-Q24)*(1-0.002495*(J24-2415020)/36525)+0.000401*COS(2*R24-Q24-P24)*(1-0.002495*(J24-2415020)/36525)+0.00032*COS(P24-Q24)*(1-0.002495*(J24-2415020)/36525)-0.000271*COS(R24)</f>
        <v>0.948996764501376</v>
      </c>
      <c r="AK24" s="36" t="n">
        <f aca="false">ASIN(COS($A$10*$B$5)*COS($A$10*AG24)*COS($A$10*AI24)+SIN($A$10*$B$5)*SIN($A$10*AG24))/$A$10</f>
        <v>29.8690965044204</v>
      </c>
      <c r="AL24" s="32" t="n">
        <f aca="false">ASIN((0.9983271+0.0016764*COS($A$10*2*$B$5))*COS($A$10*AK24)*SIN($A$10*AJ24))/$A$10</f>
        <v>0.821311567769322</v>
      </c>
      <c r="AM24" s="32" t="n">
        <f aca="false">AK24-AL24</f>
        <v>29.0477849366511</v>
      </c>
      <c r="AN24" s="35" t="n">
        <f aca="false"> MOD(280.4664567 + 360007.6982779*L24/10 + 0.03032028*L24^2/100 + L24^3/49931000,360)</f>
        <v>302.320075491778</v>
      </c>
      <c r="AO24" s="32" t="n">
        <f aca="false"> AN24 + (1.9146 - 0.004817*L24 - 0.000014*L24^2)*SIN(Q24)+ (0.019993 - 0.000101*L24)*SIN(2*Q24)+ 0.00029*SIN(3*Q24)</f>
        <v>302.955667264712</v>
      </c>
      <c r="AP24" s="32" t="n">
        <f aca="false">ACOS(COS(W24-$A$10*AO24)*COS(Y24))/$A$10</f>
        <v>121.800817746883</v>
      </c>
      <c r="AQ24" s="34" t="n">
        <f aca="false">180 - AP24 -0.1468*(1-0.0549*SIN(Q24))*SIN($A$10*AP24)/(1-0.0167*SIN($A$10*AO24))</f>
        <v>58.0783426279738</v>
      </c>
      <c r="AR24" s="64" t="n">
        <f aca="false">SIN($A$10*AI24)</f>
        <v>-0.711671735594371</v>
      </c>
      <c r="AS24" s="64" t="n">
        <f aca="false">COS($A$10*AI24)*SIN($A$10*$B$5) - TAN($A$10*AG24)*COS($A$10*$B$5)</f>
        <v>0.498376583128634</v>
      </c>
      <c r="AT24" s="24" t="n">
        <f aca="false">IF(OR(AND(AR24*AS24&gt;0), AND(AR24&lt;0,AS24&gt;0)), MOD(ATAN2(AS24,AR24)/$A$10+360,360),  ATAN2(AS24,AR24)/$A$10)</f>
        <v>305.00316931068</v>
      </c>
      <c r="AU24" s="39" t="n">
        <f aca="false"> 385000.56 + (-20905355*COS(P24) - 3699111*COS(2*R24-P24) - 2955968*COS(2*R24) - 569925*COS(2*P24) + (1-0.002516*L24)*48888*COS(Q24) - 3149*COS(2*S24)  +246158*COS(2*R24-2*P24) -(1 - 0.002516*L24)*152138*COS(2*R24-Q24-P24) -170733*COS(2*R24+P24) -(1 - 0.002516*L24)*204586*COS(2*R24-Q24) -(1 - 0.002516*L24)*129620*COS(Q24-P24)  + 108743*COS(R24) +(1-0.002516*L24)*104755*COS(Q24+P24) +10321*COS(2*R24-2*S24) +79661*COS(P24-2*S24) -34782*COS(4*R24-P24) -23210*COS(3*P24)  -21636*COS(4*R24-2*P24) +(1 - 0.002516*L24)*24208*COS(2*R24+Q24-P24) +(1 - 0.002516*L24)*30824*COS(2*R24+Q24) -8379*COS(R24-P24) -(1 - 0.002516*L24)*16675*COS(R24+Q24)  -(1 - 0.002516*L24)*12831*COS(2*R24-Q24+P24) -10445*COS(2*R24+2*P24) -11650*COS(4*R24) +14403*COS(2*R24-3*P24) -(1-0.002516*L24)*7003*COS(Q24-2*P24)  + (1 - 0.002516*L24)*10056*COS(2*R24-Q24-2*P24) +6322*COS(R24+P24) -(1 - 0.002516*L24)*(1-0.002516*L24)*9884*COS(2*R24-2*Q24) +(1-0.002516*L24)*5751*COS(Q24+2*P24) - (1-0.002516*L24)^2*4950*COS(2*R24-2*Q24-P24)  +4130*COS(2*R24+P24-2*S24) -(1-0.002516*L24)*3958*COS(4*R24-Q24-P24) +3258*COS(3*R24-P24) +(1 - 0.002516*L24)*2616*COS(2*R24+Q24+P24) -(1 - 0.002516*L24)*1897*COS(4*R24-Q24-2*P24)  -(1-0.002516*L24)^2*2117*COS(2*Q24-P24) +(1-0.002516*L24)^2*2354*COS(2*R24+2*Q24-P24) -1423*COS(4*R24+P24) -1117*COS(4*P24) -(1-0.002516*L24)*1571*COS(4*R24-Q24)  -1739*COS(R24-2*P24) -4421*COS(2*P24-2*S24) +(1-0.002516*L24)^2*1165*COS(2*Q24+P24) +8752*COS(2*R24-P24-2*S24))/1000</f>
        <v>385152.082404778</v>
      </c>
      <c r="AV24" s="54" t="n">
        <f aca="false">ATAN(0.99664719*TAN($A$10*input!$E$2))</f>
        <v>0.871010436227447</v>
      </c>
      <c r="AW24" s="54" t="n">
        <f aca="false">COS(AV24)</f>
        <v>0.644053912545845</v>
      </c>
      <c r="AX24" s="54" t="n">
        <f aca="false">0.99664719*SIN(AV24)</f>
        <v>0.762415269897027</v>
      </c>
      <c r="AY24" s="54" t="n">
        <f aca="false">6378.14/AU24</f>
        <v>0.0165600558620292</v>
      </c>
      <c r="AZ24" s="55" t="n">
        <f aca="false">M24-15*AH24</f>
        <v>-45.3710956181072</v>
      </c>
      <c r="BA24" s="56" t="n">
        <f aca="false">COS($A$10*AG24)*SIN($A$10*AZ24)</f>
        <v>-0.710312870788099</v>
      </c>
      <c r="BB24" s="56" t="n">
        <f aca="false">COS($A$10*AG24)*COS($A$10*AZ24)-AW24*AY24</f>
        <v>0.690505219827938</v>
      </c>
      <c r="BC24" s="56" t="n">
        <f aca="false">SIN($A$10*AG24)-AX24*AY24</f>
        <v>0.0491412676172182</v>
      </c>
      <c r="BD24" s="57" t="n">
        <f aca="false">SQRT(BA24^2+BB24^2+BC24^2)</f>
        <v>0.991845097381585</v>
      </c>
      <c r="BE24" s="58" t="n">
        <f aca="false">AU24*BD24</f>
        <v>382011.204679488</v>
      </c>
    </row>
    <row r="25" customFormat="false" ht="15" hidden="false" customHeight="false" outlineLevel="0" collapsed="false">
      <c r="A25" s="22"/>
      <c r="D25" s="41" t="n">
        <f aca="false">K25-INT(275*E25/9)+IF($A$8="common year",2,1)*INT((E25+9)/12)+30</f>
        <v>24</v>
      </c>
      <c r="E25" s="41" t="n">
        <f aca="false">IF(K25&lt;32,1,INT(9*(IF($A$8="common year",2,1)+K25)/275+0.98))</f>
        <v>1</v>
      </c>
      <c r="F25" s="42" t="n">
        <f aca="false">AM25</f>
        <v>18.1394981981565</v>
      </c>
      <c r="G25" s="60" t="n">
        <f aca="false">F25+1.02/(TAN($A$10*(F25+10.3/(F25+5.11)))*60)</f>
        <v>18.1900637063143</v>
      </c>
      <c r="H25" s="43" t="n">
        <f aca="false">100*(1+COS($A$10*AQ25))/2</f>
        <v>66.9425696143746</v>
      </c>
      <c r="I25" s="43" t="n">
        <f aca="false">IF(AI25&gt;180,AT25-180,AT25+180)</f>
        <v>118.528601857523</v>
      </c>
      <c r="J25" s="61" t="n">
        <f aca="false">$J$2+K24</f>
        <v>2459603.5</v>
      </c>
      <c r="K25" s="21" t="n">
        <v>24</v>
      </c>
      <c r="L25" s="62" t="n">
        <f aca="false">(J25-2451545)/36525</f>
        <v>0.22062970568104</v>
      </c>
      <c r="M25" s="63" t="n">
        <f aca="false">MOD(280.46061837+360.98564736629*(J25-2451545)+0.000387933*L25^2-L25^3/38710000+$B$7,360)</f>
        <v>138.299938500859</v>
      </c>
      <c r="N25" s="30" t="n">
        <f aca="false">0.606433+1336.855225*L25 - INT(0.606433+1336.855225*L25)</f>
        <v>0.556407829910995</v>
      </c>
      <c r="O25" s="35" t="n">
        <f aca="false">22640*SIN(P25)-4586*SIN(P25-2*R25)+2370*SIN(2*R25)+769*SIN(2*P25)-668*SIN(Q25)-412*SIN(2*S25)-212*SIN(2*P25-2*R25)-206*SIN(P25+Q25-2*R25)+192*SIN(P25+2*R25)-165*SIN(Q25-2*R25)-125*SIN(R25)-110*SIN(P25+Q25)+148*SIN(P25-Q25)-55*SIN(2*S25-2*R25)</f>
        <v>-21770.8798684095</v>
      </c>
      <c r="P25" s="32" t="n">
        <f aca="false">2*PI()*(0.374897+1325.55241*L25 - INT(0.374897+1325.55241*L25))</f>
        <v>5.22217574237599</v>
      </c>
      <c r="Q25" s="36" t="n">
        <f aca="false">2*PI()*(0.993133+99.997361*L25 - INT(0.993133+99.997361*L25))</f>
        <v>0.348850781710803</v>
      </c>
      <c r="R25" s="36" t="n">
        <f aca="false">2*PI()*(0.827361+1236.853086*L25 - INT(0.827361+1236.853086*L25))</f>
        <v>4.48552411252697</v>
      </c>
      <c r="S25" s="36" t="n">
        <f aca="false">2*PI()*(0.259086+1342.227825*L25 - INT(0.259086+1342.227825*L25))</f>
        <v>2.4781887322547</v>
      </c>
      <c r="T25" s="36" t="n">
        <f aca="false">S25+(O25+412*SIN(2*S25)+541*SIN(Q25))/206264.8062</f>
        <v>2.37159879006885</v>
      </c>
      <c r="U25" s="36" t="n">
        <f aca="false">S25-2*R25</f>
        <v>-6.49285949279924</v>
      </c>
      <c r="V25" s="34" t="n">
        <f aca="false">-526*SIN(U25)+44*SIN(P25+U25)-31*SIN(-P25+U25)-23*SIN(Q25+U25)+11*SIN(-Q25+U25)-25*SIN(-2*P25+S25)+21*SIN(-P25+S25)</f>
        <v>51.8233293055164</v>
      </c>
      <c r="W25" s="36" t="n">
        <f aca="false">2*PI()*(N25+O25/1296000-INT(N25+O25/1296000))</f>
        <v>3.39046529759647</v>
      </c>
      <c r="X25" s="35" t="n">
        <f aca="false">W25*180/PI()</f>
        <v>194.259352137844</v>
      </c>
      <c r="Y25" s="36" t="n">
        <f aca="false">(18520*SIN(T25)+V25)/206264.8062</f>
        <v>0.0627550894313566</v>
      </c>
      <c r="Z25" s="36" t="n">
        <f aca="false">Y25*180/PI()</f>
        <v>3.59560176738277</v>
      </c>
      <c r="AA25" s="36" t="n">
        <f aca="false">COS(Y25)*COS(W25)</f>
        <v>-0.967282910462545</v>
      </c>
      <c r="AB25" s="36" t="n">
        <f aca="false">COS(Y25)*SIN(W25)</f>
        <v>-0.245826640080758</v>
      </c>
      <c r="AC25" s="36" t="n">
        <f aca="false">SIN(Y25)</f>
        <v>0.0627139071794573</v>
      </c>
      <c r="AD25" s="36" t="n">
        <f aca="false">COS($A$10*(23.4393-46.815*L25/3600))*AB25-SIN($A$10*(23.4393-46.815*L25/3600))*AC25</f>
        <v>-0.25048970103107</v>
      </c>
      <c r="AE25" s="36" t="n">
        <f aca="false">SIN($A$10*(23.4393-46.815*L25/3600))*AB25+COS($A$10*(23.4393-46.815*L25/3600))*AC25</f>
        <v>-0.0402328324192223</v>
      </c>
      <c r="AF25" s="36" t="n">
        <f aca="false">SQRT(1-AE25*AE25)</f>
        <v>0.99919033181648</v>
      </c>
      <c r="AG25" s="35" t="n">
        <f aca="false">ATAN(AE25/AF25)/$A$10</f>
        <v>-2.30579383837886</v>
      </c>
      <c r="AH25" s="36" t="n">
        <f aca="false">IF(24*ATAN(AD25/(AA25+AF25))/PI()&gt;0,24*ATAN(AD25/(AA25+AF25))/PI(),24*ATAN(AD25/(AA25+AF25))/PI()+24)</f>
        <v>12.9679003420397</v>
      </c>
      <c r="AI25" s="63" t="n">
        <f aca="false">IF(M25-15*AH25&gt;0,M25-15*AH25,360+M25-15*AH25)</f>
        <v>303.781433370263</v>
      </c>
      <c r="AJ25" s="32" t="n">
        <f aca="false">0.950724+0.051818*COS(P25)+0.009531*COS(2*R25-P25)+0.007843*COS(2*R25)+0.002824*COS(2*P25)+0.000857*COS(2*R25+P25)+0.000533*COS(2*R25-Q25)*(1-0.002495*(J25-2415020)/36525)+0.000401*COS(2*R25-Q25-P25)*(1-0.002495*(J25-2415020)/36525)+0.00032*COS(P25-Q25)*(1-0.002495*(J25-2415020)/36525)-0.000271*COS(R25)</f>
        <v>0.958963718671953</v>
      </c>
      <c r="AK25" s="36" t="n">
        <f aca="false">ASIN(COS($A$10*$B$5)*COS($A$10*AG25)*COS($A$10*AI25)+SIN($A$10*$B$5)*SIN($A$10*AG25))/$A$10</f>
        <v>19.0441901731145</v>
      </c>
      <c r="AL25" s="32" t="n">
        <f aca="false">ASIN((0.9983271+0.0016764*COS($A$10*2*$B$5))*COS($A$10*AK25)*SIN($A$10*AJ25))/$A$10</f>
        <v>0.904691974957937</v>
      </c>
      <c r="AM25" s="32" t="n">
        <f aca="false">AK25-AL25</f>
        <v>18.1394981981565</v>
      </c>
      <c r="AN25" s="35" t="n">
        <f aca="false"> MOD(280.4664567 + 360007.6982779*L25/10 + 0.03032028*L25^2/100 + L25^3/49931000,360)</f>
        <v>303.305722855544</v>
      </c>
      <c r="AO25" s="32" t="n">
        <f aca="false"> AN25 + (1.9146 - 0.004817*L25 - 0.000014*L25^2)*SIN(Q25)+ (0.019993 - 0.000101*L25)*SIN(2*Q25)+ 0.00029*SIN(3*Q25)</f>
        <v>303.972885562273</v>
      </c>
      <c r="AP25" s="32" t="n">
        <f aca="false">ACOS(COS(W25-$A$10*AO25)*COS(Y25))/$A$10</f>
        <v>109.673125902438</v>
      </c>
      <c r="AQ25" s="34" t="n">
        <f aca="false">180 - AP25 -0.1468*(1-0.0549*SIN(Q25))*SIN($A$10*AP25)/(1-0.0167*SIN($A$10*AO25))</f>
        <v>70.1930898680342</v>
      </c>
      <c r="AR25" s="64" t="n">
        <f aca="false">SIN($A$10*AI25)</f>
        <v>-0.831164692579038</v>
      </c>
      <c r="AS25" s="64" t="n">
        <f aca="false">COS($A$10*AI25)*SIN($A$10*$B$5) - TAN($A$10*AG25)*COS($A$10*$B$5)</f>
        <v>0.451822984634505</v>
      </c>
      <c r="AT25" s="24" t="n">
        <f aca="false">IF(OR(AND(AR25*AS25&gt;0), AND(AR25&lt;0,AS25&gt;0)), MOD(ATAN2(AS25,AR25)/$A$10+360,360),  ATAN2(AS25,AR25)/$A$10)</f>
        <v>298.528601857523</v>
      </c>
      <c r="AU25" s="39" t="n">
        <f aca="false"> 385000.56 + (-20905355*COS(P25) - 3699111*COS(2*R25-P25) - 2955968*COS(2*R25) - 569925*COS(2*P25) + (1-0.002516*L25)*48888*COS(Q25) - 3149*COS(2*S25)  +246158*COS(2*R25-2*P25) -(1 - 0.002516*L25)*152138*COS(2*R25-Q25-P25) -170733*COS(2*R25+P25) -(1 - 0.002516*L25)*204586*COS(2*R25-Q25) -(1 - 0.002516*L25)*129620*COS(Q25-P25)  + 108743*COS(R25) +(1-0.002516*L25)*104755*COS(Q25+P25) +10321*COS(2*R25-2*S25) +79661*COS(P25-2*S25) -34782*COS(4*R25-P25) -23210*COS(3*P25)  -21636*COS(4*R25-2*P25) +(1 - 0.002516*L25)*24208*COS(2*R25+Q25-P25) +(1 - 0.002516*L25)*30824*COS(2*R25+Q25) -8379*COS(R25-P25) -(1 - 0.002516*L25)*16675*COS(R25+Q25)  -(1 - 0.002516*L25)*12831*COS(2*R25-Q25+P25) -10445*COS(2*R25+2*P25) -11650*COS(4*R25) +14403*COS(2*R25-3*P25) -(1-0.002516*L25)*7003*COS(Q25-2*P25)  + (1 - 0.002516*L25)*10056*COS(2*R25-Q25-2*P25) +6322*COS(R25+P25) -(1 - 0.002516*L25)*(1-0.002516*L25)*9884*COS(2*R25-2*Q25) +(1-0.002516*L25)*5751*COS(Q25+2*P25) - (1-0.002516*L25)^2*4950*COS(2*R25-2*Q25-P25)  +4130*COS(2*R25+P25-2*S25) -(1-0.002516*L25)*3958*COS(4*R25-Q25-P25) +3258*COS(3*R25-P25) +(1 - 0.002516*L25)*2616*COS(2*R25+Q25+P25) -(1 - 0.002516*L25)*1897*COS(4*R25-Q25-2*P25)  -(1-0.002516*L25)^2*2117*COS(2*Q25-P25) +(1-0.002516*L25)^2*2354*COS(2*R25+2*Q25-P25) -1423*COS(4*R25+P25) -1117*COS(4*P25) -(1-0.002516*L25)*1571*COS(4*R25-Q25)  -1739*COS(R25-2*P25) -4421*COS(2*P25-2*S25) +(1-0.002516*L25)^2*1165*COS(2*Q25+P25) +8752*COS(2*R25-P25-2*S25))/1000</f>
        <v>381179.098641182</v>
      </c>
      <c r="AV25" s="54" t="n">
        <f aca="false">ATAN(0.99664719*TAN($A$10*input!$E$2))</f>
        <v>0.871010436227447</v>
      </c>
      <c r="AW25" s="54" t="n">
        <f aca="false">COS(AV25)</f>
        <v>0.644053912545845</v>
      </c>
      <c r="AX25" s="54" t="n">
        <f aca="false">0.99664719*SIN(AV25)</f>
        <v>0.762415269897027</v>
      </c>
      <c r="AY25" s="54" t="n">
        <f aca="false">6378.14/AU25</f>
        <v>0.0167326593266437</v>
      </c>
      <c r="AZ25" s="55" t="n">
        <f aca="false">M25-15*AH25</f>
        <v>-56.2185666297368</v>
      </c>
      <c r="BA25" s="56" t="n">
        <f aca="false">COS($A$10*AG25)*SIN($A$10*AZ25)</f>
        <v>-0.830491724972191</v>
      </c>
      <c r="BB25" s="56" t="n">
        <f aca="false">COS($A$10*AG25)*COS($A$10*AZ25)-AW25*AY25</f>
        <v>0.544799375244338</v>
      </c>
      <c r="BC25" s="56" t="n">
        <f aca="false">SIN($A$10*AG25)-AX25*AY25</f>
        <v>-0.0529900673958404</v>
      </c>
      <c r="BD25" s="57" t="n">
        <f aca="false">SQRT(BA25^2+BB25^2+BC25^2)</f>
        <v>0.994651100515413</v>
      </c>
      <c r="BE25" s="58" t="n">
        <f aca="false">AU25*BD25</f>
        <v>379140.209956925</v>
      </c>
    </row>
    <row r="26" customFormat="false" ht="15" hidden="false" customHeight="false" outlineLevel="0" collapsed="false">
      <c r="A26" s="22"/>
      <c r="D26" s="41" t="n">
        <f aca="false">K26-INT(275*E26/9)+IF($A$8="common year",2,1)*INT((E26+9)/12)+30</f>
        <v>25</v>
      </c>
      <c r="E26" s="41" t="n">
        <f aca="false">IF(K26&lt;32,1,INT(9*(IF($A$8="common year",2,1)+K26)/275+0.98))</f>
        <v>1</v>
      </c>
      <c r="F26" s="42" t="n">
        <f aca="false">AM26</f>
        <v>6.83054846181713</v>
      </c>
      <c r="G26" s="60" t="n">
        <f aca="false">F26+1.02/(TAN($A$10*(F26+10.3/(F26+5.11)))*60)</f>
        <v>6.95639639737056</v>
      </c>
      <c r="H26" s="43" t="n">
        <f aca="false">100*(1+COS($A$10*AQ26))/2</f>
        <v>56.4490088116906</v>
      </c>
      <c r="I26" s="43" t="n">
        <f aca="false">IF(AI26&gt;180,AT26-180,AT26+180)</f>
        <v>112.71900709183</v>
      </c>
      <c r="J26" s="61" t="n">
        <f aca="false">$J$2+K25</f>
        <v>2459604.5</v>
      </c>
      <c r="K26" s="21" t="n">
        <v>25</v>
      </c>
      <c r="L26" s="62" t="n">
        <f aca="false">(J26-2451545)/36525</f>
        <v>0.220657084188912</v>
      </c>
      <c r="M26" s="63" t="n">
        <f aca="false">MOD(280.46061837+360.98564736629*(J26-2451545)+0.000387933*L26^2-L26^3/38710000+$B$7,360)</f>
        <v>139.285585871898</v>
      </c>
      <c r="N26" s="30" t="n">
        <f aca="false">0.606433+1336.855225*L26 - INT(0.606433+1336.855225*L26)</f>
        <v>0.5930089312115</v>
      </c>
      <c r="O26" s="35" t="n">
        <f aca="false">22640*SIN(P26)-4586*SIN(P26-2*R26)+2370*SIN(2*R26)+769*SIN(2*P26)-668*SIN(Q26)-412*SIN(2*S26)-212*SIN(2*P26-2*R26)-206*SIN(P26+Q26-2*R26)+192*SIN(P26+2*R26)-165*SIN(Q26-2*R26)-125*SIN(R26)-110*SIN(P26+Q26)+148*SIN(P26-Q26)-55*SIN(2*S26-2*R26)</f>
        <v>-20775.7859092972</v>
      </c>
      <c r="P26" s="32" t="n">
        <f aca="false">2*PI()*(0.374897+1325.55241*L26 - INT(0.374897+1325.55241*L26))</f>
        <v>5.45020288615181</v>
      </c>
      <c r="Q26" s="36" t="n">
        <f aca="false">2*PI()*(0.993133+99.997361*L26 - INT(0.993133+99.997361*L26))</f>
        <v>0.366052751577788</v>
      </c>
      <c r="R26" s="36" t="n">
        <f aca="false">2*PI()*(0.827361+1236.853086*L26 - INT(0.827361+1236.853086*L26))</f>
        <v>4.69829282264564</v>
      </c>
      <c r="S26" s="36" t="n">
        <f aca="false">2*PI()*(0.259086+1342.227825*L26 - INT(0.259086+1342.227825*L26))</f>
        <v>2.7090844515957</v>
      </c>
      <c r="T26" s="36" t="n">
        <f aca="false">S26+(O26+412*SIN(2*S26)+541*SIN(Q26))/206264.8062</f>
        <v>2.60777914195087</v>
      </c>
      <c r="U26" s="36" t="n">
        <f aca="false">S26-2*R26</f>
        <v>-6.68750119369557</v>
      </c>
      <c r="V26" s="34" t="n">
        <f aca="false">-526*SIN(U26)+44*SIN(P26+U26)-31*SIN(-P26+U26)-23*SIN(Q26+U26)+11*SIN(-Q26+U26)-25*SIN(-2*P26+S26)+21*SIN(-P26+S26)</f>
        <v>161.085388128942</v>
      </c>
      <c r="W26" s="36" t="n">
        <f aca="false">2*PI()*(N26+O26/1296000-INT(N26+O26/1296000))</f>
        <v>3.62526115116807</v>
      </c>
      <c r="X26" s="35" t="n">
        <f aca="false">W26*180/PI()</f>
        <v>207.712163594669</v>
      </c>
      <c r="Y26" s="36" t="n">
        <f aca="false">(18520*SIN(T26)+V26)/206264.8062</f>
        <v>0.0464666349676748</v>
      </c>
      <c r="Z26" s="36" t="n">
        <f aca="false">Y26*180/PI()</f>
        <v>2.66234207182277</v>
      </c>
      <c r="AA26" s="36" t="n">
        <f aca="false">COS(Y26)*COS(W26)</f>
        <v>-0.88433935276502</v>
      </c>
      <c r="AB26" s="36" t="n">
        <f aca="false">COS(Y26)*SIN(W26)</f>
        <v>-0.464528055678263</v>
      </c>
      <c r="AC26" s="36" t="n">
        <f aca="false">SIN(Y26)</f>
        <v>0.0464499153811743</v>
      </c>
      <c r="AD26" s="36" t="n">
        <f aca="false">COS($A$10*(23.4393-46.815*L26/3600))*AB26-SIN($A$10*(23.4393-46.815*L26/3600))*AC26</f>
        <v>-0.444679970714706</v>
      </c>
      <c r="AE26" s="36" t="n">
        <f aca="false">SIN($A$10*(23.4393-46.815*L26/3600))*AB26+COS($A$10*(23.4393-46.815*L26/3600))*AC26</f>
        <v>-0.142139483593807</v>
      </c>
      <c r="AF26" s="36" t="n">
        <f aca="false">SQRT(1-AE26*AE26)</f>
        <v>0.989846638224167</v>
      </c>
      <c r="AG26" s="35" t="n">
        <f aca="false">ATAN(AE26/AF26)/$A$10</f>
        <v>-8.17166791155151</v>
      </c>
      <c r="AH26" s="36" t="n">
        <f aca="false">IF(24*ATAN(AD26/(AA26+AF26))/PI()&gt;0,24*ATAN(AD26/(AA26+AF26))/PI(),24*ATAN(AD26/(AA26+AF26))/PI()+24)</f>
        <v>13.7796677116277</v>
      </c>
      <c r="AI26" s="63" t="n">
        <f aca="false">IF(M26-15*AH26&gt;0,M26-15*AH26,360+M26-15*AH26)</f>
        <v>292.590570197483</v>
      </c>
      <c r="AJ26" s="32" t="n">
        <f aca="false">0.950724+0.051818*COS(P26)+0.009531*COS(2*R26-P26)+0.007843*COS(2*R26)+0.002824*COS(2*P26)+0.000857*COS(2*R26+P26)+0.000533*COS(2*R26-Q26)*(1-0.002495*(J26-2415020)/36525)+0.000401*COS(2*R26-Q26-P26)*(1-0.002495*(J26-2415020)/36525)+0.00032*COS(P26-Q26)*(1-0.002495*(J26-2415020)/36525)-0.000271*COS(R26)</f>
        <v>0.969573599982373</v>
      </c>
      <c r="AK26" s="36" t="n">
        <f aca="false">ASIN(COS($A$10*$B$5)*COS($A$10*AG26)*COS($A$10*AI26)+SIN($A$10*$B$5)*SIN($A$10*AG26))/$A$10</f>
        <v>7.78928830300165</v>
      </c>
      <c r="AL26" s="32" t="n">
        <f aca="false">ASIN((0.9983271+0.0016764*COS($A$10*2*$B$5))*COS($A$10*AK26)*SIN($A$10*AJ26))/$A$10</f>
        <v>0.958739841184525</v>
      </c>
      <c r="AM26" s="32" t="n">
        <f aca="false">AK26-AL26</f>
        <v>6.83054846181713</v>
      </c>
      <c r="AN26" s="35" t="n">
        <f aca="false"> MOD(280.4664567 + 360007.6982779*L26/10 + 0.03032028*L26^2/100 + L26^3/49931000,360)</f>
        <v>304.291370219311</v>
      </c>
      <c r="AO26" s="32" t="n">
        <f aca="false"> AN26 + (1.9146 - 0.004817*L26 - 0.000014*L26^2)*SIN(Q26)+ (0.019993 - 0.000101*L26)*SIN(2*Q26)+ 0.00029*SIN(3*Q26)</f>
        <v>304.989894459103</v>
      </c>
      <c r="AP26" s="32" t="n">
        <f aca="false">ACOS(COS(W26-$A$10*AO26)*COS(Y26))/$A$10</f>
        <v>97.2698329764487</v>
      </c>
      <c r="AQ26" s="34" t="n">
        <f aca="false">180 - AP26 -0.1468*(1-0.0549*SIN(Q26))*SIN($A$10*AP26)/(1-0.0167*SIN($A$10*AO26))</f>
        <v>82.5893354132091</v>
      </c>
      <c r="AR26" s="64" t="n">
        <f aca="false">SIN($A$10*AI26)</f>
        <v>-0.923273452356823</v>
      </c>
      <c r="AS26" s="64" t="n">
        <f aca="false">COS($A$10*AI26)*SIN($A$10*$B$5) - TAN($A$10*AG26)*COS($A$10*$B$5)</f>
        <v>0.386573578816226</v>
      </c>
      <c r="AT26" s="24" t="n">
        <f aca="false">IF(OR(AND(AR26*AS26&gt;0), AND(AR26&lt;0,AS26&gt;0)), MOD(ATAN2(AS26,AR26)/$A$10+360,360),  ATAN2(AS26,AR26)/$A$10)</f>
        <v>292.71900709183</v>
      </c>
      <c r="AU26" s="39" t="n">
        <f aca="false"> 385000.56 + (-20905355*COS(P26) - 3699111*COS(2*R26-P26) - 2955968*COS(2*R26) - 569925*COS(2*P26) + (1-0.002516*L26)*48888*COS(Q26) - 3149*COS(2*S26)  +246158*COS(2*R26-2*P26) -(1 - 0.002516*L26)*152138*COS(2*R26-Q26-P26) -170733*COS(2*R26+P26) -(1 - 0.002516*L26)*204586*COS(2*R26-Q26) -(1 - 0.002516*L26)*129620*COS(Q26-P26)  + 108743*COS(R26) +(1-0.002516*L26)*104755*COS(Q26+P26) +10321*COS(2*R26-2*S26) +79661*COS(P26-2*S26) -34782*COS(4*R26-P26) -23210*COS(3*P26)  -21636*COS(4*R26-2*P26) +(1 - 0.002516*L26)*24208*COS(2*R26+Q26-P26) +(1 - 0.002516*L26)*30824*COS(2*R26+Q26) -8379*COS(R26-P26) -(1 - 0.002516*L26)*16675*COS(R26+Q26)  -(1 - 0.002516*L26)*12831*COS(2*R26-Q26+P26) -10445*COS(2*R26+2*P26) -11650*COS(4*R26) +14403*COS(2*R26-3*P26) -(1-0.002516*L26)*7003*COS(Q26-2*P26)  + (1 - 0.002516*L26)*10056*COS(2*R26-Q26-2*P26) +6322*COS(R26+P26) -(1 - 0.002516*L26)*(1-0.002516*L26)*9884*COS(2*R26-2*Q26) +(1-0.002516*L26)*5751*COS(Q26+2*P26) - (1-0.002516*L26)^2*4950*COS(2*R26-2*Q26-P26)  +4130*COS(2*R26+P26-2*S26) -(1-0.002516*L26)*3958*COS(4*R26-Q26-P26) +3258*COS(3*R26-P26) +(1 - 0.002516*L26)*2616*COS(2*R26+Q26+P26) -(1 - 0.002516*L26)*1897*COS(4*R26-Q26-2*P26)  -(1-0.002516*L26)^2*2117*COS(2*Q26-P26) +(1-0.002516*L26)^2*2354*COS(2*R26+2*Q26-P26) -1423*COS(4*R26+P26) -1117*COS(4*P26) -(1-0.002516*L26)*1571*COS(4*R26-Q26)  -1739*COS(R26-2*P26) -4421*COS(2*P26-2*S26) +(1-0.002516*L26)^2*1165*COS(2*Q26+P26) +8752*COS(2*R26-P26-2*S26))/1000</f>
        <v>377065.747861356</v>
      </c>
      <c r="AV26" s="54" t="n">
        <f aca="false">ATAN(0.99664719*TAN($A$10*input!$E$2))</f>
        <v>0.871010436227447</v>
      </c>
      <c r="AW26" s="54" t="n">
        <f aca="false">COS(AV26)</f>
        <v>0.644053912545845</v>
      </c>
      <c r="AX26" s="54" t="n">
        <f aca="false">0.99664719*SIN(AV26)</f>
        <v>0.762415269897027</v>
      </c>
      <c r="AY26" s="54" t="n">
        <f aca="false">6378.14/AU26</f>
        <v>0.0169151932684832</v>
      </c>
      <c r="AZ26" s="55" t="n">
        <f aca="false">M26-15*AH26</f>
        <v>-67.4094298025174</v>
      </c>
      <c r="BA26" s="56" t="n">
        <f aca="false">COS($A$10*AG26)*SIN($A$10*AZ26)</f>
        <v>-0.913899122977023</v>
      </c>
      <c r="BB26" s="56" t="n">
        <f aca="false">COS($A$10*AG26)*COS($A$10*AZ26)-AW26*AY26</f>
        <v>0.369348731439991</v>
      </c>
      <c r="BC26" s="56" t="n">
        <f aca="false">SIN($A$10*AG26)-AX26*AY26</f>
        <v>-0.155035885234958</v>
      </c>
      <c r="BD26" s="57" t="n">
        <f aca="false">SQRT(BA26^2+BB26^2+BC26^2)</f>
        <v>0.997830756243307</v>
      </c>
      <c r="BE26" s="58" t="n">
        <f aca="false">AU26*BD26</f>
        <v>376247.800341945</v>
      </c>
    </row>
    <row r="27" customFormat="false" ht="15" hidden="false" customHeight="false" outlineLevel="0" collapsed="false">
      <c r="A27" s="22"/>
      <c r="D27" s="41" t="n">
        <f aca="false">K27-INT(275*E27/9)+IF($A$8="common year",2,1)*INT((E27+9)/12)+30</f>
        <v>26</v>
      </c>
      <c r="E27" s="41" t="n">
        <f aca="false">IF(K27&lt;32,1,INT(9*(IF($A$8="common year",2,1)+K27)/275+0.98))</f>
        <v>1</v>
      </c>
      <c r="F27" s="42" t="n">
        <f aca="false">AM27</f>
        <v>-4.75549325235862</v>
      </c>
      <c r="G27" s="60" t="n">
        <f aca="false">F27+1.02/(TAN($A$10*(F27+10.3/(F27+5.11)))*60)</f>
        <v>-4.71784060499879</v>
      </c>
      <c r="H27" s="43" t="n">
        <f aca="false">100*(1+COS($A$10*AQ27))/2</f>
        <v>45.3865267394843</v>
      </c>
      <c r="I27" s="43" t="n">
        <f aca="false">IF(AI27&gt;180,AT27-180,AT27+180)</f>
        <v>107.020690970771</v>
      </c>
      <c r="J27" s="61" t="n">
        <f aca="false">$J$2+K26</f>
        <v>2459605.5</v>
      </c>
      <c r="K27" s="21" t="n">
        <v>26</v>
      </c>
      <c r="L27" s="62" t="n">
        <f aca="false">(J27-2451545)/36525</f>
        <v>0.220684462696783</v>
      </c>
      <c r="M27" s="63" t="n">
        <f aca="false">MOD(280.46061837+360.98564736629*(J27-2451545)+0.000387933*L27^2-L27^3/38710000+$B$7,360)</f>
        <v>140.271233242936</v>
      </c>
      <c r="N27" s="30" t="n">
        <f aca="false">0.606433+1336.855225*L27 - INT(0.606433+1336.855225*L27)</f>
        <v>0.629610032511948</v>
      </c>
      <c r="O27" s="35" t="n">
        <f aca="false">22640*SIN(P27)-4586*SIN(P27-2*R27)+2370*SIN(2*R27)+769*SIN(2*P27)-668*SIN(Q27)-412*SIN(2*S27)-212*SIN(2*P27-2*R27)-206*SIN(P27+Q27-2*R27)+192*SIN(P27+2*R27)-165*SIN(Q27-2*R27)-125*SIN(R27)-110*SIN(P27+Q27)+148*SIN(P27-Q27)-55*SIN(2*S27-2*R27)</f>
        <v>-18775.8082594593</v>
      </c>
      <c r="P27" s="32" t="n">
        <f aca="false">2*PI()*(0.374897+1325.55241*L27 - INT(0.374897+1325.55241*L27))</f>
        <v>5.67823002992763</v>
      </c>
      <c r="Q27" s="36" t="n">
        <f aca="false">2*PI()*(0.993133+99.997361*L27 - INT(0.993133+99.997361*L27))</f>
        <v>0.383254721444773</v>
      </c>
      <c r="R27" s="36" t="n">
        <f aca="false">2*PI()*(0.827361+1236.853086*L27 - INT(0.827361+1236.853086*L27))</f>
        <v>4.91106153276466</v>
      </c>
      <c r="S27" s="36" t="n">
        <f aca="false">2*PI()*(0.259086+1342.227825*L27 - INT(0.259086+1342.227825*L27))</f>
        <v>2.93998017093671</v>
      </c>
      <c r="T27" s="36" t="n">
        <f aca="false">S27+(O27+412*SIN(2*S27)+541*SIN(Q27))/206264.8062</f>
        <v>2.84914950611856</v>
      </c>
      <c r="U27" s="36" t="n">
        <f aca="false">S27-2*R27</f>
        <v>-6.88214289459262</v>
      </c>
      <c r="V27" s="34" t="n">
        <f aca="false">-526*SIN(U27)+44*SIN(P27+U27)-31*SIN(-P27+U27)-23*SIN(Q27+U27)+11*SIN(-Q27+U27)-25*SIN(-2*P27+S27)+21*SIN(-P27+S27)</f>
        <v>263.971040485172</v>
      </c>
      <c r="W27" s="36" t="n">
        <f aca="false">2*PI()*(N27+O27/1296000-INT(N27+O27/1296000))</f>
        <v>3.86492881835118</v>
      </c>
      <c r="X27" s="35" t="n">
        <f aca="false">W27*180/PI()</f>
        <v>221.444109410007</v>
      </c>
      <c r="Y27" s="36" t="n">
        <f aca="false">(18520*SIN(T27)+V27)/206264.8062</f>
        <v>0.0271648288051831</v>
      </c>
      <c r="Z27" s="36" t="n">
        <f aca="false">Y27*180/PI()</f>
        <v>1.5564300417324</v>
      </c>
      <c r="AA27" s="36" t="n">
        <f aca="false">COS(Y27)*COS(W27)</f>
        <v>-0.749325174503295</v>
      </c>
      <c r="AB27" s="36" t="n">
        <f aca="false">COS(Y27)*SIN(W27)</f>
        <v>-0.661644947404779</v>
      </c>
      <c r="AC27" s="36" t="n">
        <f aca="false">SIN(Y27)</f>
        <v>0.0271614879808288</v>
      </c>
      <c r="AD27" s="36" t="n">
        <f aca="false">COS($A$10*(23.4393-46.815*L27/3600))*AB27-SIN($A$10*(23.4393-46.815*L27/3600))*AC27</f>
        <v>-0.617863486672257</v>
      </c>
      <c r="AE27" s="36" t="n">
        <f aca="false">SIN($A$10*(23.4393-46.815*L27/3600))*AB27+COS($A$10*(23.4393-46.815*L27/3600))*AC27</f>
        <v>-0.2382362161654</v>
      </c>
      <c r="AF27" s="36" t="n">
        <f aca="false">SQRT(1-AE27*AE27)</f>
        <v>0.971207241173166</v>
      </c>
      <c r="AG27" s="35" t="n">
        <f aca="false">ATAN(AE27/AF27)/$A$10</f>
        <v>-13.7824637653533</v>
      </c>
      <c r="AH27" s="36" t="n">
        <f aca="false">IF(24*ATAN(AD27/(AA27+AF27))/PI()&gt;0,24*ATAN(AD27/(AA27+AF27))/PI(),24*ATAN(AD27/(AA27+AF27))/PI()+24)</f>
        <v>14.6338415978826</v>
      </c>
      <c r="AI27" s="63" t="n">
        <f aca="false">IF(M27-15*AH27&gt;0,M27-15*AH27,360+M27-15*AH27)</f>
        <v>280.763609274697</v>
      </c>
      <c r="AJ27" s="32" t="n">
        <f aca="false">0.950724+0.051818*COS(P27)+0.009531*COS(2*R27-P27)+0.007843*COS(2*R27)+0.002824*COS(2*P27)+0.000857*COS(2*R27+P27)+0.000533*COS(2*R27-Q27)*(1-0.002495*(J27-2415020)/36525)+0.000401*COS(2*R27-Q27-P27)*(1-0.002495*(J27-2415020)/36525)+0.00032*COS(P27-Q27)*(1-0.002495*(J27-2415020)/36525)-0.000271*COS(R27)</f>
        <v>0.980406294436983</v>
      </c>
      <c r="AK27" s="36" t="n">
        <f aca="false">ASIN(COS($A$10*$B$5)*COS($A$10*AG27)*COS($A$10*AI27)+SIN($A$10*$B$5)*SIN($A$10*AG27))/$A$10</f>
        <v>-3.77914054964493</v>
      </c>
      <c r="AL27" s="32" t="n">
        <f aca="false">ASIN((0.9983271+0.0016764*COS($A$10*2*$B$5))*COS($A$10*AK27)*SIN($A$10*AJ27))/$A$10</f>
        <v>0.976352702713685</v>
      </c>
      <c r="AM27" s="32" t="n">
        <f aca="false">AK27-AL27</f>
        <v>-4.75549325235862</v>
      </c>
      <c r="AN27" s="35" t="n">
        <f aca="false"> MOD(280.4664567 + 360007.6982779*L27/10 + 0.03032028*L27^2/100 + L27^3/49931000,360)</f>
        <v>305.277017583079</v>
      </c>
      <c r="AO27" s="32" t="n">
        <f aca="false"> AN27 + (1.9146 - 0.004817*L27 - 0.000014*L27^2)*SIN(Q27)+ (0.019993 - 0.000101*L27)*SIN(2*Q27)+ 0.00029*SIN(3*Q27)</f>
        <v>306.006684197901</v>
      </c>
      <c r="AP27" s="32" t="n">
        <f aca="false">ACOS(COS(W27-$A$10*AO27)*COS(Y27))/$A$10</f>
        <v>84.5645869193024</v>
      </c>
      <c r="AQ27" s="34" t="n">
        <f aca="false">180 - AP27 -0.1468*(1-0.0549*SIN(Q27))*SIN($A$10*AP27)/(1-0.0167*SIN($A$10*AO27))</f>
        <v>95.2941812731166</v>
      </c>
      <c r="AR27" s="64" t="n">
        <f aca="false">SIN($A$10*AI27)</f>
        <v>-0.982406065581695</v>
      </c>
      <c r="AS27" s="64" t="n">
        <f aca="false">COS($A$10*AI27)*SIN($A$10*$B$5) - TAN($A$10*AG27)*COS($A$10*$B$5)</f>
        <v>0.300739651674565</v>
      </c>
      <c r="AT27" s="24" t="n">
        <f aca="false">IF(OR(AND(AR27*AS27&gt;0), AND(AR27&lt;0,AS27&gt;0)), MOD(ATAN2(AS27,AR27)/$A$10+360,360),  ATAN2(AS27,AR27)/$A$10)</f>
        <v>287.020690970771</v>
      </c>
      <c r="AU27" s="39" t="n">
        <f aca="false"> 385000.56 + (-20905355*COS(P27) - 3699111*COS(2*R27-P27) - 2955968*COS(2*R27) - 569925*COS(2*P27) + (1-0.002516*L27)*48888*COS(Q27) - 3149*COS(2*S27)  +246158*COS(2*R27-2*P27) -(1 - 0.002516*L27)*152138*COS(2*R27-Q27-P27) -170733*COS(2*R27+P27) -(1 - 0.002516*L27)*204586*COS(2*R27-Q27) -(1 - 0.002516*L27)*129620*COS(Q27-P27)  + 108743*COS(R27) +(1-0.002516*L27)*104755*COS(Q27+P27) +10321*COS(2*R27-2*S27) +79661*COS(P27-2*S27) -34782*COS(4*R27-P27) -23210*COS(3*P27)  -21636*COS(4*R27-2*P27) +(1 - 0.002516*L27)*24208*COS(2*R27+Q27-P27) +(1 - 0.002516*L27)*30824*COS(2*R27+Q27) -8379*COS(R27-P27) -(1 - 0.002516*L27)*16675*COS(R27+Q27)  -(1 - 0.002516*L27)*12831*COS(2*R27-Q27+P27) -10445*COS(2*R27+2*P27) -11650*COS(4*R27) +14403*COS(2*R27-3*P27) -(1-0.002516*L27)*7003*COS(Q27-2*P27)  + (1 - 0.002516*L27)*10056*COS(2*R27-Q27-2*P27) +6322*COS(R27+P27) -(1 - 0.002516*L27)*(1-0.002516*L27)*9884*COS(2*R27-2*Q27) +(1-0.002516*L27)*5751*COS(Q27+2*P27) - (1-0.002516*L27)^2*4950*COS(2*R27-2*Q27-P27)  +4130*COS(2*R27+P27-2*S27) -(1-0.002516*L27)*3958*COS(4*R27-Q27-P27) +3258*COS(3*R27-P27) +(1 - 0.002516*L27)*2616*COS(2*R27+Q27+P27) -(1 - 0.002516*L27)*1897*COS(4*R27-Q27-2*P27)  -(1-0.002516*L27)^2*2117*COS(2*Q27-P27) +(1-0.002516*L27)^2*2354*COS(2*R27+2*Q27-P27) -1423*COS(4*R27+P27) -1117*COS(4*P27) -(1-0.002516*L27)*1571*COS(4*R27-Q27)  -1739*COS(R27-2*P27) -4421*COS(2*P27-2*S27) +(1-0.002516*L27)^2*1165*COS(2*Q27+P27) +8752*COS(2*R27-P27-2*S27))/1000</f>
        <v>372970.174551499</v>
      </c>
      <c r="AV27" s="54" t="n">
        <f aca="false">ATAN(0.99664719*TAN($A$10*input!$E$2))</f>
        <v>0.871010436227447</v>
      </c>
      <c r="AW27" s="54" t="n">
        <f aca="false">COS(AV27)</f>
        <v>0.644053912545845</v>
      </c>
      <c r="AX27" s="54" t="n">
        <f aca="false">0.99664719*SIN(AV27)</f>
        <v>0.762415269897027</v>
      </c>
      <c r="AY27" s="54" t="n">
        <f aca="false">6378.14/AU27</f>
        <v>0.0171009384535098</v>
      </c>
      <c r="AZ27" s="55" t="n">
        <f aca="false">M27-15*AH27</f>
        <v>-79.2363907253032</v>
      </c>
      <c r="BA27" s="56" t="n">
        <f aca="false">COS($A$10*AG27)*SIN($A$10*AZ27)</f>
        <v>-0.954119884665383</v>
      </c>
      <c r="BB27" s="56" t="n">
        <f aca="false">COS($A$10*AG27)*COS($A$10*AZ27)-AW27*AY27</f>
        <v>0.170366202121909</v>
      </c>
      <c r="BC27" s="56" t="n">
        <f aca="false">SIN($A$10*AG27)-AX27*AY27</f>
        <v>-0.251274232771925</v>
      </c>
      <c r="BD27" s="57" t="n">
        <f aca="false">SQRT(BA27^2+BB27^2+BC27^2)</f>
        <v>1.00125328323779</v>
      </c>
      <c r="BE27" s="58" t="n">
        <f aca="false">AU27*BD27</f>
        <v>373437.611819459</v>
      </c>
    </row>
    <row r="28" customFormat="false" ht="15" hidden="false" customHeight="false" outlineLevel="0" collapsed="false">
      <c r="A28" s="22"/>
      <c r="D28" s="41" t="n">
        <f aca="false">K28-INT(275*E28/9)+IF($A$8="common year",2,1)*INT((E28+9)/12)+30</f>
        <v>27</v>
      </c>
      <c r="E28" s="41" t="n">
        <f aca="false">IF(K28&lt;32,1,INT(9*(IF($A$8="common year",2,1)+K28)/275+0.98))</f>
        <v>1</v>
      </c>
      <c r="F28" s="42" t="n">
        <f aca="false">AM28</f>
        <v>-16.4866180429661</v>
      </c>
      <c r="G28" s="60" t="n">
        <f aca="false">F28+1.02/(TAN($A$10*(F28+10.3/(F28+5.11)))*60)</f>
        <v>-16.5408917180133</v>
      </c>
      <c r="H28" s="43" t="n">
        <f aca="false">100*(1+COS($A$10*AQ28))/2</f>
        <v>34.2853601438807</v>
      </c>
      <c r="I28" s="43" t="n">
        <f aca="false">IF(AI28&gt;180,AT28-180,AT28+180)</f>
        <v>100.907525515055</v>
      </c>
      <c r="J28" s="61" t="n">
        <f aca="false">$J$2+K27</f>
        <v>2459606.5</v>
      </c>
      <c r="K28" s="21" t="n">
        <v>27</v>
      </c>
      <c r="L28" s="62" t="n">
        <f aca="false">(J28-2451545)/36525</f>
        <v>0.220711841204654</v>
      </c>
      <c r="M28" s="63" t="n">
        <f aca="false">MOD(280.46061837+360.98564736629*(J28-2451545)+0.000387933*L28^2-L28^3/38710000+$B$7,360)</f>
        <v>141.256880613975</v>
      </c>
      <c r="N28" s="30" t="n">
        <f aca="false">0.606433+1336.855225*L28 - INT(0.606433+1336.855225*L28)</f>
        <v>0.666211133812453</v>
      </c>
      <c r="O28" s="35" t="n">
        <f aca="false">22640*SIN(P28)-4586*SIN(P28-2*R28)+2370*SIN(2*R28)+769*SIN(2*P28)-668*SIN(Q28)-412*SIN(2*S28)-212*SIN(2*P28-2*R28)-206*SIN(P28+Q28-2*R28)+192*SIN(P28+2*R28)-165*SIN(Q28-2*R28)-125*SIN(R28)-110*SIN(P28+Q28)+148*SIN(P28-Q28)-55*SIN(2*S28-2*R28)</f>
        <v>-15695.4035677841</v>
      </c>
      <c r="P28" s="32" t="n">
        <f aca="false">2*PI()*(0.374897+1325.55241*L28 - INT(0.374897+1325.55241*L28))</f>
        <v>5.90625717370345</v>
      </c>
      <c r="Q28" s="36" t="n">
        <f aca="false">2*PI()*(0.993133+99.997361*L28 - INT(0.993133+99.997361*L28))</f>
        <v>0.400456691311781</v>
      </c>
      <c r="R28" s="36" t="n">
        <f aca="false">2*PI()*(0.827361+1236.853086*L28 - INT(0.827361+1236.853086*L28))</f>
        <v>5.12383024288369</v>
      </c>
      <c r="S28" s="36" t="n">
        <f aca="false">2*PI()*(0.259086+1342.227825*L28 - INT(0.259086+1342.227825*L28))</f>
        <v>3.17087589027771</v>
      </c>
      <c r="T28" s="36" t="n">
        <f aca="false">S28+(O28+412*SIN(2*S28)+541*SIN(Q28))/206264.8062</f>
        <v>3.09592182812064</v>
      </c>
      <c r="U28" s="36" t="n">
        <f aca="false">S28-2*R28</f>
        <v>-7.07678459548966</v>
      </c>
      <c r="V28" s="34" t="n">
        <f aca="false">-526*SIN(U28)+44*SIN(P28+U28)-31*SIN(-P28+U28)-23*SIN(Q28+U28)+11*SIN(-Q28+U28)-25*SIN(-2*P28+S28)+21*SIN(-P28+S28)</f>
        <v>354.922653962329</v>
      </c>
      <c r="W28" s="36" t="n">
        <f aca="false">2*PI()*(N28+O28/1296000-INT(N28+O28/1296000))</f>
        <v>4.10983454364789</v>
      </c>
      <c r="X28" s="35" t="n">
        <f aca="false">W28*180/PI()</f>
        <v>235.476173848099</v>
      </c>
      <c r="Y28" s="36" t="n">
        <f aca="false">(18520*SIN(T28)+V28)/206264.8062</f>
        <v>0.00581995714391479</v>
      </c>
      <c r="Z28" s="36" t="n">
        <f aca="false">Y28*180/PI()</f>
        <v>0.33345898129333</v>
      </c>
      <c r="AA28" s="36" t="n">
        <f aca="false">COS(Y28)*COS(W28)</f>
        <v>-0.56673929812637</v>
      </c>
      <c r="AB28" s="36" t="n">
        <f aca="false">COS(Y28)*SIN(W28)</f>
        <v>-0.823876626953639</v>
      </c>
      <c r="AC28" s="36" t="n">
        <f aca="false">SIN(Y28)</f>
        <v>0.00581992428846824</v>
      </c>
      <c r="AD28" s="36" t="n">
        <f aca="false">COS($A$10*(23.4393-46.815*L28/3600))*AB28-SIN($A$10*(23.4393-46.815*L28/3600))*AC28</f>
        <v>-0.75822315783783</v>
      </c>
      <c r="AE28" s="36" t="n">
        <f aca="false">SIN($A$10*(23.4393-46.815*L28/3600))*AB28+COS($A$10*(23.4393-46.815*L28/3600))*AC28</f>
        <v>-0.322341760989263</v>
      </c>
      <c r="AF28" s="36" t="n">
        <f aca="false">SQRT(1-AE28*AE28)</f>
        <v>0.946623361808877</v>
      </c>
      <c r="AG28" s="35" t="n">
        <f aca="false">ATAN(AE28/AF28)/$A$10</f>
        <v>-18.8046039296075</v>
      </c>
      <c r="AH28" s="36" t="n">
        <f aca="false">IF(24*ATAN(AD28/(AA28+AF28))/PI()&gt;0,24*ATAN(AD28/(AA28+AF28))/PI(),24*ATAN(AD28/(AA28+AF28))/PI()+24)</f>
        <v>15.5482307892767</v>
      </c>
      <c r="AI28" s="63" t="n">
        <f aca="false">IF(M28-15*AH28&gt;0,M28-15*AH28,360+M28-15*AH28)</f>
        <v>268.033418774824</v>
      </c>
      <c r="AJ28" s="32" t="n">
        <f aca="false">0.950724+0.051818*COS(P28)+0.009531*COS(2*R28-P28)+0.007843*COS(2*R28)+0.002824*COS(2*P28)+0.000857*COS(2*R28+P28)+0.000533*COS(2*R28-Q28)*(1-0.002495*(J28-2415020)/36525)+0.000401*COS(2*R28-Q28-P28)*(1-0.002495*(J28-2415020)/36525)+0.00032*COS(P28-Q28)*(1-0.002495*(J28-2415020)/36525)-0.000271*COS(R28)</f>
        <v>0.990756225814508</v>
      </c>
      <c r="AK28" s="36" t="n">
        <f aca="false">ASIN(COS($A$10*$B$5)*COS($A$10*AG28)*COS($A$10*AI28)+SIN($A$10*$B$5)*SIN($A$10*AG28))/$A$10</f>
        <v>-15.5339304843641</v>
      </c>
      <c r="AL28" s="32" t="n">
        <f aca="false">ASIN((0.9983271+0.0016764*COS($A$10*2*$B$5))*COS($A$10*AK28)*SIN($A$10*AJ28))/$A$10</f>
        <v>0.952687558601975</v>
      </c>
      <c r="AM28" s="32" t="n">
        <f aca="false">AK28-AL28</f>
        <v>-16.4866180429661</v>
      </c>
      <c r="AN28" s="35" t="n">
        <f aca="false"> MOD(280.4664567 + 360007.6982779*L28/10 + 0.03032028*L28^2/100 + L28^3/49931000,360)</f>
        <v>306.262664946848</v>
      </c>
      <c r="AO28" s="32" t="n">
        <f aca="false"> AN28 + (1.9146 - 0.004817*L28 - 0.000014*L28^2)*SIN(Q28)+ (0.019993 - 0.000101*L28)*SIN(2*Q28)+ 0.00029*SIN(3*Q28)</f>
        <v>307.023245101864</v>
      </c>
      <c r="AP28" s="32" t="n">
        <f aca="false">ACOS(COS(W28-$A$10*AO28)*COS(Y28))/$A$10</f>
        <v>71.5473950437528</v>
      </c>
      <c r="AQ28" s="34" t="n">
        <f aca="false">180 - AP28 -0.1468*(1-0.0549*SIN(Q28))*SIN($A$10*AP28)/(1-0.0167*SIN($A$10*AO28))</f>
        <v>108.318125889331</v>
      </c>
      <c r="AR28" s="64" t="n">
        <f aca="false">SIN($A$10*AI28)</f>
        <v>-0.999411012768511</v>
      </c>
      <c r="AS28" s="64" t="n">
        <f aca="false">COS($A$10*AI28)*SIN($A$10*$B$5) - TAN($A$10*AG28)*COS($A$10*$B$5)</f>
        <v>0.192592365166493</v>
      </c>
      <c r="AT28" s="24" t="n">
        <f aca="false">IF(OR(AND(AR28*AS28&gt;0), AND(AR28&lt;0,AS28&gt;0)), MOD(ATAN2(AS28,AR28)/$A$10+360,360),  ATAN2(AS28,AR28)/$A$10)</f>
        <v>280.907525515055</v>
      </c>
      <c r="AU28" s="39" t="n">
        <f aca="false"> 385000.56 + (-20905355*COS(P28) - 3699111*COS(2*R28-P28) - 2955968*COS(2*R28) - 569925*COS(2*P28) + (1-0.002516*L28)*48888*COS(Q28) - 3149*COS(2*S28)  +246158*COS(2*R28-2*P28) -(1 - 0.002516*L28)*152138*COS(2*R28-Q28-P28) -170733*COS(2*R28+P28) -(1 - 0.002516*L28)*204586*COS(2*R28-Q28) -(1 - 0.002516*L28)*129620*COS(Q28-P28)  + 108743*COS(R28) +(1-0.002516*L28)*104755*COS(Q28+P28) +10321*COS(2*R28-2*S28) +79661*COS(P28-2*S28) -34782*COS(4*R28-P28) -23210*COS(3*P28)  -21636*COS(4*R28-2*P28) +(1 - 0.002516*L28)*24208*COS(2*R28+Q28-P28) +(1 - 0.002516*L28)*30824*COS(2*R28+Q28) -8379*COS(R28-P28) -(1 - 0.002516*L28)*16675*COS(R28+Q28)  -(1 - 0.002516*L28)*12831*COS(2*R28-Q28+P28) -10445*COS(2*R28+2*P28) -11650*COS(4*R28) +14403*COS(2*R28-3*P28) -(1-0.002516*L28)*7003*COS(Q28-2*P28)  + (1 - 0.002516*L28)*10056*COS(2*R28-Q28-2*P28) +6322*COS(R28+P28) -(1 - 0.002516*L28)*(1-0.002516*L28)*9884*COS(2*R28-2*Q28) +(1-0.002516*L28)*5751*COS(Q28+2*P28) - (1-0.002516*L28)^2*4950*COS(2*R28-2*Q28-P28)  +4130*COS(2*R28+P28-2*S28) -(1-0.002516*L28)*3958*COS(4*R28-Q28-P28) +3258*COS(3*R28-P28) +(1 - 0.002516*L28)*2616*COS(2*R28+Q28+P28) -(1 - 0.002516*L28)*1897*COS(4*R28-Q28-2*P28)  -(1-0.002516*L28)^2*2117*COS(2*Q28-P28) +(1-0.002516*L28)^2*2354*COS(2*R28+2*Q28-P28) -1423*COS(4*R28+P28) -1117*COS(4*P28) -(1-0.002516*L28)*1571*COS(4*R28-Q28)  -1739*COS(R28-2*P28) -4421*COS(2*P28-2*S28) +(1-0.002516*L28)^2*1165*COS(2*Q28+P28) +8752*COS(2*R28-P28-2*S28))/1000</f>
        <v>369129.5511636</v>
      </c>
      <c r="AV28" s="54" t="n">
        <f aca="false">ATAN(0.99664719*TAN($A$10*input!$E$2))</f>
        <v>0.871010436227447</v>
      </c>
      <c r="AW28" s="54" t="n">
        <f aca="false">COS(AV28)</f>
        <v>0.644053912545845</v>
      </c>
      <c r="AX28" s="54" t="n">
        <f aca="false">0.99664719*SIN(AV28)</f>
        <v>0.762415269897027</v>
      </c>
      <c r="AY28" s="54" t="n">
        <f aca="false">6378.14/AU28</f>
        <v>0.0172788658613062</v>
      </c>
      <c r="AZ28" s="55" t="n">
        <f aca="false">M28-15*AH28</f>
        <v>-91.9665812251757</v>
      </c>
      <c r="BA28" s="56" t="n">
        <f aca="false">COS($A$10*AG28)*SIN($A$10*AZ28)</f>
        <v>-0.946065812735742</v>
      </c>
      <c r="BB28" s="56" t="n">
        <f aca="false">COS($A$10*AG28)*COS($A$10*AZ28)-AW28*AY28</f>
        <v>-0.0436133960274101</v>
      </c>
      <c r="BC28" s="56" t="n">
        <f aca="false">SIN($A$10*AG28)-AX28*AY28</f>
        <v>-0.335515432168426</v>
      </c>
      <c r="BD28" s="57" t="n">
        <f aca="false">SQRT(BA28^2+BB28^2+BC28^2)</f>
        <v>1.00474536852058</v>
      </c>
      <c r="BE28" s="58" t="n">
        <f aca="false">AU28*BD28</f>
        <v>370881.206915707</v>
      </c>
    </row>
    <row r="29" customFormat="false" ht="15" hidden="false" customHeight="false" outlineLevel="0" collapsed="false">
      <c r="A29" s="22"/>
      <c r="D29" s="41" t="n">
        <f aca="false">K29-INT(275*E29/9)+IF($A$8="common year",2,1)*INT((E29+9)/12)+30</f>
        <v>28</v>
      </c>
      <c r="E29" s="41" t="n">
        <f aca="false">IF(K29&lt;32,1,INT(9*(IF($A$8="common year",2,1)+K29)/275+0.98))</f>
        <v>1</v>
      </c>
      <c r="F29" s="42" t="n">
        <f aca="false">AM29</f>
        <v>-28.1635171755985</v>
      </c>
      <c r="G29" s="60" t="n">
        <f aca="false">F29+1.02/(TAN($A$10*(F29+10.3/(F29+5.11)))*60)</f>
        <v>-28.1946840441268</v>
      </c>
      <c r="H29" s="43" t="n">
        <f aca="false">100*(1+COS($A$10*AQ29))/2</f>
        <v>23.7704234569703</v>
      </c>
      <c r="I29" s="43" t="n">
        <f aca="false">IF(AI29&gt;180,AT29-180,AT29+180)</f>
        <v>93.7258749932274</v>
      </c>
      <c r="J29" s="61" t="n">
        <f aca="false">$J$2+K28</f>
        <v>2459607.5</v>
      </c>
      <c r="K29" s="21" t="n">
        <v>28</v>
      </c>
      <c r="L29" s="62" t="n">
        <f aca="false">(J29-2451545)/36525</f>
        <v>0.220739219712526</v>
      </c>
      <c r="M29" s="63" t="n">
        <f aca="false">MOD(280.46061837+360.98564736629*(J29-2451545)+0.000387933*L29^2-L29^3/38710000+$B$7,360)</f>
        <v>142.242527985014</v>
      </c>
      <c r="N29" s="30" t="n">
        <f aca="false">0.606433+1336.855225*L29 - INT(0.606433+1336.855225*L29)</f>
        <v>0.702812235112901</v>
      </c>
      <c r="O29" s="35" t="n">
        <f aca="false">22640*SIN(P29)-4586*SIN(P29-2*R29)+2370*SIN(2*R29)+769*SIN(2*P29)-668*SIN(Q29)-412*SIN(2*S29)-212*SIN(2*P29-2*R29)-206*SIN(P29+Q29-2*R29)+192*SIN(P29+2*R29)-165*SIN(Q29-2*R29)-125*SIN(R29)-110*SIN(P29+Q29)+148*SIN(P29-Q29)-55*SIN(2*S29-2*R29)</f>
        <v>-11544.8987771816</v>
      </c>
      <c r="P29" s="32" t="n">
        <f aca="false">2*PI()*(0.374897+1325.55241*L29 - INT(0.374897+1325.55241*L29))</f>
        <v>6.13428431747891</v>
      </c>
      <c r="Q29" s="36" t="n">
        <f aca="false">2*PI()*(0.993133+99.997361*L29 - INT(0.993133+99.997361*L29))</f>
        <v>0.417658661178765</v>
      </c>
      <c r="R29" s="36" t="n">
        <f aca="false">2*PI()*(0.827361+1236.853086*L29 - INT(0.827361+1236.853086*L29))</f>
        <v>5.33659895300271</v>
      </c>
      <c r="S29" s="36" t="n">
        <f aca="false">2*PI()*(0.259086+1342.227825*L29 - INT(0.259086+1342.227825*L29))</f>
        <v>3.40177160961836</v>
      </c>
      <c r="T29" s="36" t="n">
        <f aca="false">S29+(O29+412*SIN(2*S29)+541*SIN(Q29))/206264.8062</f>
        <v>3.34785734675591</v>
      </c>
      <c r="U29" s="36" t="n">
        <f aca="false">S29-2*R29</f>
        <v>-7.27142629638706</v>
      </c>
      <c r="V29" s="34" t="n">
        <f aca="false">-526*SIN(U29)+44*SIN(P29+U29)-31*SIN(-P29+U29)-23*SIN(Q29+U29)+11*SIN(-Q29+U29)-25*SIN(-2*P29+S29)+21*SIN(-P29+S29)</f>
        <v>428.840204897437</v>
      </c>
      <c r="W29" s="36" t="n">
        <f aca="false">2*PI()*(N29+O29/1296000-INT(N29+O29/1296000))</f>
        <v>4.3599282606254</v>
      </c>
      <c r="X29" s="35" t="n">
        <f aca="false">W29*180/PI()</f>
        <v>249.80548831365</v>
      </c>
      <c r="Y29" s="36" t="n">
        <f aca="false">(18520*SIN(T29)+V29)/206264.8062</f>
        <v>-0.0163098703979066</v>
      </c>
      <c r="Z29" s="36" t="n">
        <f aca="false">Y29*180/PI()</f>
        <v>-0.934486738205402</v>
      </c>
      <c r="AA29" s="36" t="n">
        <f aca="false">COS(Y29)*COS(W29)</f>
        <v>-0.345162386236319</v>
      </c>
      <c r="AB29" s="36" t="n">
        <f aca="false">COS(Y29)*SIN(W29)</f>
        <v>-0.938401267498002</v>
      </c>
      <c r="AC29" s="36" t="n">
        <f aca="false">SIN(Y29)</f>
        <v>-0.0163091473043304</v>
      </c>
      <c r="AD29" s="36" t="n">
        <f aca="false">COS($A$10*(23.4393-46.815*L29/3600))*AB29-SIN($A$10*(23.4393-46.815*L29/3600))*AC29</f>
        <v>-0.854498313220404</v>
      </c>
      <c r="AE29" s="36" t="n">
        <f aca="false">SIN($A$10*(23.4393-46.815*L29/3600))*AB29+COS($A$10*(23.4393-46.815*L29/3600))*AC29</f>
        <v>-0.388195259928731</v>
      </c>
      <c r="AF29" s="36" t="n">
        <f aca="false">SQRT(1-AE29*AE29)</f>
        <v>0.921577148245802</v>
      </c>
      <c r="AG29" s="35" t="n">
        <f aca="false">ATAN(AE29/AF29)/$A$10</f>
        <v>-22.8422497217802</v>
      </c>
      <c r="AH29" s="36" t="n">
        <f aca="false">IF(24*ATAN(AD29/(AA29+AF29))/PI()&gt;0,24*ATAN(AD29/(AA29+AF29))/PI(),24*ATAN(AD29/(AA29+AF29))/PI()+24)</f>
        <v>16.5336305562312</v>
      </c>
      <c r="AI29" s="63" t="n">
        <f aca="false">IF(M29-15*AH29&gt;0,M29-15*AH29,360+M29-15*AH29)</f>
        <v>254.238069641547</v>
      </c>
      <c r="AJ29" s="32" t="n">
        <f aca="false">0.950724+0.051818*COS(P29)+0.009531*COS(2*R29-P29)+0.007843*COS(2*R29)+0.002824*COS(2*P29)+0.000857*COS(2*R29+P29)+0.000533*COS(2*R29-Q29)*(1-0.002495*(J29-2415020)/36525)+0.000401*COS(2*R29-Q29-P29)*(1-0.002495*(J29-2415020)/36525)+0.00032*COS(P29-Q29)*(1-0.002495*(J29-2415020)/36525)-0.000271*COS(R29)</f>
        <v>0.999678952239745</v>
      </c>
      <c r="AK29" s="36" t="n">
        <f aca="false">ASIN(COS($A$10*$B$5)*COS($A$10*AG29)*COS($A$10*AI29)+SIN($A$10*$B$5)*SIN($A$10*AG29))/$A$10</f>
        <v>-27.2767539233552</v>
      </c>
      <c r="AL29" s="32" t="n">
        <f aca="false">ASIN((0.9983271+0.0016764*COS($A$10*2*$B$5))*COS($A$10*AK29)*SIN($A$10*AJ29))/$A$10</f>
        <v>0.886763252243353</v>
      </c>
      <c r="AM29" s="32" t="n">
        <f aca="false">AK29-AL29</f>
        <v>-28.1635171755985</v>
      </c>
      <c r="AN29" s="35" t="n">
        <f aca="false"> MOD(280.4664567 + 360007.6982779*L29/10 + 0.03032028*L29^2/100 + L29^3/49931000,360)</f>
        <v>307.248312310616</v>
      </c>
      <c r="AO29" s="32" t="n">
        <f aca="false"> AN29 + (1.9146 - 0.004817*L29 - 0.000014*L29^2)*SIN(Q29)+ (0.019993 - 0.000101*L29)*SIN(2*Q29)+ 0.00029*SIN(3*Q29)</f>
        <v>308.039567578125</v>
      </c>
      <c r="AP29" s="32" t="n">
        <f aca="false">ACOS(COS(W29-$A$10*AO29)*COS(Y29))/$A$10</f>
        <v>58.2387977876442</v>
      </c>
      <c r="AQ29" s="34" t="n">
        <f aca="false">180 - AP29 -0.1468*(1-0.0549*SIN(Q29))*SIN($A$10*AP29)/(1-0.0167*SIN($A$10*AO29))</f>
        <v>121.640749381818</v>
      </c>
      <c r="AR29" s="64" t="n">
        <f aca="false">SIN($A$10*AI29)</f>
        <v>-0.962398695163359</v>
      </c>
      <c r="AS29" s="64" t="n">
        <f aca="false">COS($A$10*AI29)*SIN($A$10*$B$5) - TAN($A$10*AG29)*COS($A$10*$B$5)</f>
        <v>0.0626719850932408</v>
      </c>
      <c r="AT29" s="24" t="n">
        <f aca="false">IF(OR(AND(AR29*AS29&gt;0), AND(AR29&lt;0,AS29&gt;0)), MOD(ATAN2(AS29,AR29)/$A$10+360,360),  ATAN2(AS29,AR29)/$A$10)</f>
        <v>273.725874993227</v>
      </c>
      <c r="AU29" s="39" t="n">
        <f aca="false"> 385000.56 + (-20905355*COS(P29) - 3699111*COS(2*R29-P29) - 2955968*COS(2*R29) - 569925*COS(2*P29) + (1-0.002516*L29)*48888*COS(Q29) - 3149*COS(2*S29)  +246158*COS(2*R29-2*P29) -(1 - 0.002516*L29)*152138*COS(2*R29-Q29-P29) -170733*COS(2*R29+P29) -(1 - 0.002516*L29)*204586*COS(2*R29-Q29) -(1 - 0.002516*L29)*129620*COS(Q29-P29)  + 108743*COS(R29) +(1-0.002516*L29)*104755*COS(Q29+P29) +10321*COS(2*R29-2*S29) +79661*COS(P29-2*S29) -34782*COS(4*R29-P29) -23210*COS(3*P29)  -21636*COS(4*R29-2*P29) +(1 - 0.002516*L29)*24208*COS(2*R29+Q29-P29) +(1 - 0.002516*L29)*30824*COS(2*R29+Q29) -8379*COS(R29-P29) -(1 - 0.002516*L29)*16675*COS(R29+Q29)  -(1 - 0.002516*L29)*12831*COS(2*R29-Q29+P29) -10445*COS(2*R29+2*P29) -11650*COS(4*R29) +14403*COS(2*R29-3*P29) -(1-0.002516*L29)*7003*COS(Q29-2*P29)  + (1 - 0.002516*L29)*10056*COS(2*R29-Q29-2*P29) +6322*COS(R29+P29) -(1 - 0.002516*L29)*(1-0.002516*L29)*9884*COS(2*R29-2*Q29) +(1-0.002516*L29)*5751*COS(Q29+2*P29) - (1-0.002516*L29)^2*4950*COS(2*R29-2*Q29-P29)  +4130*COS(2*R29+P29-2*S29) -(1-0.002516*L29)*3958*COS(4*R29-Q29-P29) +3258*COS(3*R29-P29) +(1 - 0.002516*L29)*2616*COS(2*R29+Q29+P29) -(1 - 0.002516*L29)*1897*COS(4*R29-Q29-2*P29)  -(1-0.002516*L29)^2*2117*COS(2*Q29-P29) +(1-0.002516*L29)^2*2354*COS(2*R29+2*Q29-P29) -1423*COS(4*R29+P29) -1117*COS(4*P29) -(1-0.002516*L29)*1571*COS(4*R29-Q29)  -1739*COS(R29-2*P29) -4421*COS(2*P29-2*S29) +(1-0.002516*L29)^2*1165*COS(2*Q29+P29) +8752*COS(2*R29-P29-2*S29))/1000</f>
        <v>365849.847432053</v>
      </c>
      <c r="AV29" s="54" t="n">
        <f aca="false">ATAN(0.99664719*TAN($A$10*input!$E$2))</f>
        <v>0.871010436227447</v>
      </c>
      <c r="AW29" s="54" t="n">
        <f aca="false">COS(AV29)</f>
        <v>0.644053912545845</v>
      </c>
      <c r="AX29" s="54" t="n">
        <f aca="false">0.99664719*SIN(AV29)</f>
        <v>0.762415269897027</v>
      </c>
      <c r="AY29" s="54" t="n">
        <f aca="false">6378.14/AU29</f>
        <v>0.0174337642745213</v>
      </c>
      <c r="AZ29" s="55" t="n">
        <f aca="false">M29-15*AH29</f>
        <v>-105.761930358453</v>
      </c>
      <c r="BA29" s="56" t="n">
        <f aca="false">COS($A$10*AG29)*SIN($A$10*AZ29)</f>
        <v>-0.886924644964129</v>
      </c>
      <c r="BB29" s="56" t="n">
        <f aca="false">COS($A$10*AG29)*COS($A$10*AZ29)-AW29*AY29</f>
        <v>-0.261566284251429</v>
      </c>
      <c r="BC29" s="56" t="n">
        <f aca="false">SIN($A$10*AG29)-AX29*AY29</f>
        <v>-0.401487028023412</v>
      </c>
      <c r="BD29" s="57" t="n">
        <f aca="false">SQRT(BA29^2+BB29^2+BC29^2)</f>
        <v>1.00808932172349</v>
      </c>
      <c r="BE29" s="58" t="n">
        <f aca="false">AU29*BD29</f>
        <v>368809.324550419</v>
      </c>
    </row>
    <row r="30" customFormat="false" ht="15" hidden="false" customHeight="false" outlineLevel="0" collapsed="false">
      <c r="A30" s="22"/>
      <c r="D30" s="41" t="n">
        <f aca="false">K30-INT(275*E30/9)+IF($A$8="common year",2,1)*INT((E30+9)/12)+30</f>
        <v>29</v>
      </c>
      <c r="E30" s="41" t="n">
        <f aca="false">IF(K30&lt;32,1,INT(9*(IF($A$8="common year",2,1)+K30)/275+0.98))</f>
        <v>1</v>
      </c>
      <c r="F30" s="42" t="n">
        <f aca="false">AM30</f>
        <v>-39.4371530194505</v>
      </c>
      <c r="G30" s="60" t="n">
        <f aca="false">F30+1.02/(TAN($A$10*(F30+10.3/(F30+5.11)))*60)</f>
        <v>-39.4576025834616</v>
      </c>
      <c r="H30" s="43" t="n">
        <f aca="false">100*(1+COS($A$10*AQ30))/2</f>
        <v>14.5223839702457</v>
      </c>
      <c r="I30" s="43" t="n">
        <f aca="false">IF(AI30&gt;180,AT30-180,AT30+180)</f>
        <v>84.4766976665831</v>
      </c>
      <c r="J30" s="61" t="n">
        <f aca="false">$J$2+K29</f>
        <v>2459608.5</v>
      </c>
      <c r="K30" s="21" t="n">
        <v>29</v>
      </c>
      <c r="L30" s="62" t="n">
        <f aca="false">(J30-2451545)/36525</f>
        <v>0.220766598220397</v>
      </c>
      <c r="M30" s="63" t="n">
        <f aca="false">MOD(280.46061837+360.98564736629*(J30-2451545)+0.000387933*L30^2-L30^3/38710000+$B$7,360)</f>
        <v>143.228175356053</v>
      </c>
      <c r="N30" s="30" t="n">
        <f aca="false">0.606433+1336.855225*L30 - INT(0.606433+1336.855225*L30)</f>
        <v>0.739413336413406</v>
      </c>
      <c r="O30" s="35" t="n">
        <f aca="false">22640*SIN(P30)-4586*SIN(P30-2*R30)+2370*SIN(2*R30)+769*SIN(2*P30)-668*SIN(Q30)-412*SIN(2*S30)-212*SIN(2*P30-2*R30)-206*SIN(P30+Q30-2*R30)+192*SIN(P30+2*R30)-165*SIN(Q30-2*R30)-125*SIN(R30)-110*SIN(P30+Q30)+148*SIN(P30-Q30)-55*SIN(2*S30-2*R30)</f>
        <v>-6457.7763675765</v>
      </c>
      <c r="P30" s="32" t="n">
        <f aca="false">2*PI()*(0.374897+1325.55241*L30 - INT(0.374897+1325.55241*L30))</f>
        <v>0.0791261540751364</v>
      </c>
      <c r="Q30" s="36" t="n">
        <f aca="false">2*PI()*(0.993133+99.997361*L30 - INT(0.993133+99.997361*L30))</f>
        <v>0.434860631045773</v>
      </c>
      <c r="R30" s="36" t="n">
        <f aca="false">2*PI()*(0.827361+1236.853086*L30 - INT(0.827361+1236.853086*L30))</f>
        <v>5.54936766312174</v>
      </c>
      <c r="S30" s="36" t="n">
        <f aca="false">2*PI()*(0.259086+1342.227825*L30 - INT(0.259086+1342.227825*L30))</f>
        <v>3.63266732895936</v>
      </c>
      <c r="T30" s="36" t="n">
        <f aca="false">S30+(O30+412*SIN(2*S30)+541*SIN(Q30))/206264.8062</f>
        <v>3.60412535691691</v>
      </c>
      <c r="U30" s="36" t="n">
        <f aca="false">S30-2*R30</f>
        <v>-7.46606799728411</v>
      </c>
      <c r="V30" s="34" t="n">
        <f aca="false">-526*SIN(U30)+44*SIN(P30+U30)-31*SIN(-P30+U30)-23*SIN(Q30+U30)+11*SIN(-Q30+U30)-25*SIN(-2*P30+S30)+21*SIN(-P30+S30)</f>
        <v>481.58028212194</v>
      </c>
      <c r="W30" s="36" t="n">
        <f aca="false">2*PI()*(N30+O30/1296000-INT(N30+O30/1296000))</f>
        <v>4.61456282795988</v>
      </c>
      <c r="X30" s="35" t="n">
        <f aca="false">W30*180/PI()</f>
        <v>264.394974340055</v>
      </c>
      <c r="Y30" s="36" t="n">
        <f aca="false">(18520*SIN(T30)+V30)/206264.8062</f>
        <v>-0.037729859621011</v>
      </c>
      <c r="Z30" s="36" t="n">
        <f aca="false">Y30*180/PI()</f>
        <v>-2.161761717905</v>
      </c>
      <c r="AA30" s="36" t="n">
        <f aca="false">COS(Y30)*COS(W30)</f>
        <v>-0.0976006844905537</v>
      </c>
      <c r="AB30" s="36" t="n">
        <f aca="false">COS(Y30)*SIN(W30)</f>
        <v>-0.994510552705528</v>
      </c>
      <c r="AC30" s="36" t="n">
        <f aca="false">SIN(Y30)</f>
        <v>-0.0377209085829091</v>
      </c>
      <c r="AD30" s="36" t="n">
        <f aca="false">COS($A$10*(23.4393-46.815*L30/3600))*AB30-SIN($A$10*(23.4393-46.815*L30/3600))*AC30</f>
        <v>-0.897462564917474</v>
      </c>
      <c r="AE30" s="36" t="n">
        <f aca="false">SIN($A$10*(23.4393-46.815*L30/3600))*AB30+COS($A$10*(23.4393-46.815*L30/3600))*AC30</f>
        <v>-0.430157007334211</v>
      </c>
      <c r="AF30" s="36" t="n">
        <f aca="false">SQRT(1-AE30*AE30)</f>
        <v>0.902754091124086</v>
      </c>
      <c r="AG30" s="35" t="n">
        <f aca="false">ATAN(AE30/AF30)/$A$10</f>
        <v>-25.4775246333731</v>
      </c>
      <c r="AH30" s="36" t="n">
        <f aca="false">IF(24*ATAN(AD30/(AA30+AF30))/PI()&gt;0,24*ATAN(AD30/(AA30+AF30))/PI(),24*ATAN(AD30/(AA30+AF30))/PI()+24)</f>
        <v>17.5862247796288</v>
      </c>
      <c r="AI30" s="63" t="n">
        <f aca="false">IF(M30-15*AH30&gt;0,M30-15*AH30,360+M30-15*AH30)</f>
        <v>239.434803661621</v>
      </c>
      <c r="AJ30" s="32" t="n">
        <f aca="false">0.950724+0.051818*COS(P30)+0.009531*COS(2*R30-P30)+0.007843*COS(2*R30)+0.002824*COS(2*P30)+0.000857*COS(2*R30+P30)+0.000533*COS(2*R30-Q30)*(1-0.002495*(J30-2415020)/36525)+0.000401*COS(2*R30-Q30-P30)*(1-0.002495*(J30-2415020)/36525)+0.00032*COS(P30-Q30)*(1-0.002495*(J30-2415020)/36525)-0.000271*COS(R30)</f>
        <v>1.00612574952962</v>
      </c>
      <c r="AK30" s="36" t="n">
        <f aca="false">ASIN(COS($A$10*$B$5)*COS($A$10*AG30)*COS($A$10*AI30)+SIN($A$10*$B$5)*SIN($A$10*AG30))/$A$10</f>
        <v>-38.6529849501133</v>
      </c>
      <c r="AL30" s="32" t="n">
        <f aca="false">ASIN((0.9983271+0.0016764*COS($A$10*2*$B$5))*COS($A$10*AK30)*SIN($A$10*AJ30))/$A$10</f>
        <v>0.78416806933725</v>
      </c>
      <c r="AM30" s="32" t="n">
        <f aca="false">AK30-AL30</f>
        <v>-39.4371530194505</v>
      </c>
      <c r="AN30" s="35" t="n">
        <f aca="false"> MOD(280.4664567 + 360007.6982779*L30/10 + 0.03032028*L30^2/100 + L30^3/49931000,360)</f>
        <v>308.233959674384</v>
      </c>
      <c r="AO30" s="32" t="n">
        <f aca="false"> AN30 + (1.9146 - 0.004817*L30 - 0.000014*L30^2)*SIN(Q30)+ (0.019993 - 0.000101*L30)*SIN(2*Q30)+ 0.00029*SIN(3*Q30)</f>
        <v>309.055642121135</v>
      </c>
      <c r="AP30" s="32" t="n">
        <f aca="false">ACOS(COS(W30-$A$10*AO30)*COS(Y30))/$A$10</f>
        <v>44.7019152858055</v>
      </c>
      <c r="AQ30" s="34" t="n">
        <f aca="false">180 - AP30 -0.1468*(1-0.0549*SIN(Q30))*SIN($A$10*AP30)/(1-0.0167*SIN($A$10*AO30))</f>
        <v>135.19850256797</v>
      </c>
      <c r="AR30" s="64" t="n">
        <f aca="false">SIN($A$10*AI30)</f>
        <v>-0.86105107953341</v>
      </c>
      <c r="AS30" s="64" t="n">
        <f aca="false">COS($A$10*AI30)*SIN($A$10*$B$5) - TAN($A$10*AG30)*COS($A$10*$B$5)</f>
        <v>-0.0832632411645833</v>
      </c>
      <c r="AT30" s="24" t="n">
        <f aca="false">IF(OR(AND(AR30*AS30&gt;0), AND(AR30&lt;0,AS30&gt;0)), MOD(ATAN2(AS30,AR30)/$A$10+360,360),  ATAN2(AS30,AR30)/$A$10)</f>
        <v>264.476697666583</v>
      </c>
      <c r="AU30" s="39" t="n">
        <f aca="false"> 385000.56 + (-20905355*COS(P30) - 3699111*COS(2*R30-P30) - 2955968*COS(2*R30) - 569925*COS(2*P30) + (1-0.002516*L30)*48888*COS(Q30) - 3149*COS(2*S30)  +246158*COS(2*R30-2*P30) -(1 - 0.002516*L30)*152138*COS(2*R30-Q30-P30) -170733*COS(2*R30+P30) -(1 - 0.002516*L30)*204586*COS(2*R30-Q30) -(1 - 0.002516*L30)*129620*COS(Q30-P30)  + 108743*COS(R30) +(1-0.002516*L30)*104755*COS(Q30+P30) +10321*COS(2*R30-2*S30) +79661*COS(P30-2*S30) -34782*COS(4*R30-P30) -23210*COS(3*P30)  -21636*COS(4*R30-2*P30) +(1 - 0.002516*L30)*24208*COS(2*R30+Q30-P30) +(1 - 0.002516*L30)*30824*COS(2*R30+Q30) -8379*COS(R30-P30) -(1 - 0.002516*L30)*16675*COS(R30+Q30)  -(1 - 0.002516*L30)*12831*COS(2*R30-Q30+P30) -10445*COS(2*R30+2*P30) -11650*COS(4*R30) +14403*COS(2*R30-3*P30) -(1-0.002516*L30)*7003*COS(Q30-2*P30)  + (1 - 0.002516*L30)*10056*COS(2*R30-Q30-2*P30) +6322*COS(R30+P30) -(1 - 0.002516*L30)*(1-0.002516*L30)*9884*COS(2*R30-2*Q30) +(1-0.002516*L30)*5751*COS(Q30+2*P30) - (1-0.002516*L30)^2*4950*COS(2*R30-2*Q30-P30)  +4130*COS(2*R30+P30-2*S30) -(1-0.002516*L30)*3958*COS(4*R30-Q30-P30) +3258*COS(3*R30-P30) +(1 - 0.002516*L30)*2616*COS(2*R30+Q30+P30) -(1 - 0.002516*L30)*1897*COS(4*R30-Q30-2*P30)  -(1-0.002516*L30)^2*2117*COS(2*Q30-P30) +(1-0.002516*L30)^2*2354*COS(2*R30+2*Q30-P30) -1423*COS(4*R30+P30) -1117*COS(4*P30) -(1-0.002516*L30)*1571*COS(4*R30-Q30)  -1739*COS(R30-2*P30) -4421*COS(2*P30-2*S30) +(1-0.002516*L30)^2*1165*COS(2*Q30+P30) +8752*COS(2*R30-P30-2*S30))/1000</f>
        <v>363472.52544914</v>
      </c>
      <c r="AV30" s="54" t="n">
        <f aca="false">ATAN(0.99664719*TAN($A$10*input!$E$2))</f>
        <v>0.871010436227447</v>
      </c>
      <c r="AW30" s="54" t="n">
        <f aca="false">COS(AV30)</f>
        <v>0.644053912545845</v>
      </c>
      <c r="AX30" s="54" t="n">
        <f aca="false">0.99664719*SIN(AV30)</f>
        <v>0.762415269897027</v>
      </c>
      <c r="AY30" s="54" t="n">
        <f aca="false">6378.14/AU30</f>
        <v>0.0175477912453454</v>
      </c>
      <c r="AZ30" s="55" t="n">
        <f aca="false">M30-15*AH30</f>
        <v>-120.565196338379</v>
      </c>
      <c r="BA30" s="56" t="n">
        <f aca="false">COS($A$10*AG30)*SIN($A$10*AZ30)</f>
        <v>-0.777317384715597</v>
      </c>
      <c r="BB30" s="56" t="n">
        <f aca="false">COS($A$10*AG30)*COS($A$10*AZ30)-AW30*AY30</f>
        <v>-0.470368856454902</v>
      </c>
      <c r="BC30" s="56" t="n">
        <f aca="false">SIN($A$10*AG30)-AX30*AY30</f>
        <v>-0.443535711332628</v>
      </c>
      <c r="BD30" s="57" t="n">
        <f aca="false">SQRT(BA30^2+BB30^2+BC30^2)</f>
        <v>1.01103565957444</v>
      </c>
      <c r="BE30" s="58" t="n">
        <f aca="false">AU30*BD30</f>
        <v>367483.68450466</v>
      </c>
    </row>
    <row r="31" customFormat="false" ht="15" hidden="false" customHeight="false" outlineLevel="0" collapsed="false">
      <c r="A31" s="22"/>
      <c r="D31" s="41" t="n">
        <f aca="false">K31-INT(275*E31/9)+IF($A$8="common year",2,1)*INT((E31+9)/12)+30</f>
        <v>30</v>
      </c>
      <c r="E31" s="41" t="n">
        <f aca="false">IF(K31&lt;32,1,INT(9*(IF($A$8="common year",2,1)+K31)/275+0.98))</f>
        <v>1</v>
      </c>
      <c r="F31" s="42" t="n">
        <f aca="false">AM31</f>
        <v>-49.6517933783535</v>
      </c>
      <c r="G31" s="60" t="n">
        <f aca="false">F31+1.02/(TAN($A$10*(F31+10.3/(F31+5.11)))*60)</f>
        <v>-49.6661173117332</v>
      </c>
      <c r="H31" s="43" t="n">
        <f aca="false">100*(1+COS($A$10*AQ31))/2</f>
        <v>7.19998656314235</v>
      </c>
      <c r="I31" s="43" t="n">
        <f aca="false">IF(AI31&gt;180,AT31-180,AT31+180)</f>
        <v>71.4875275571152</v>
      </c>
      <c r="J31" s="61" t="n">
        <f aca="false">$J$2+K30</f>
        <v>2459609.5</v>
      </c>
      <c r="K31" s="21" t="n">
        <v>30</v>
      </c>
      <c r="L31" s="62" t="n">
        <f aca="false">(J31-2451545)/36525</f>
        <v>0.220793976728268</v>
      </c>
      <c r="M31" s="63" t="n">
        <f aca="false">MOD(280.46061837+360.98564736629*(J31-2451545)+0.000387933*L31^2-L31^3/38710000+$B$7,360)</f>
        <v>144.213822727092</v>
      </c>
      <c r="N31" s="30" t="n">
        <f aca="false">0.606433+1336.855225*L31 - INT(0.606433+1336.855225*L31)</f>
        <v>0.776014437713855</v>
      </c>
      <c r="O31" s="35" t="n">
        <f aca="false">22640*SIN(P31)-4586*SIN(P31-2*R31)+2370*SIN(2*R31)+769*SIN(2*P31)-668*SIN(Q31)-412*SIN(2*S31)-212*SIN(2*P31-2*R31)-206*SIN(P31+Q31-2*R31)+192*SIN(P31+2*R31)-165*SIN(Q31-2*R31)-125*SIN(R31)-110*SIN(P31+Q31)+148*SIN(P31-Q31)-55*SIN(2*S31-2*R31)</f>
        <v>-705.872671480435</v>
      </c>
      <c r="P31" s="32" t="n">
        <f aca="false">2*PI()*(0.374897+1325.55241*L31 - INT(0.374897+1325.55241*L31))</f>
        <v>0.307153297850954</v>
      </c>
      <c r="Q31" s="36" t="n">
        <f aca="false">2*PI()*(0.993133+99.997361*L31 - INT(0.993133+99.997361*L31))</f>
        <v>0.452062600912758</v>
      </c>
      <c r="R31" s="36" t="n">
        <f aca="false">2*PI()*(0.827361+1236.853086*L31 - INT(0.827361+1236.853086*L31))</f>
        <v>5.76213637324076</v>
      </c>
      <c r="S31" s="36" t="n">
        <f aca="false">2*PI()*(0.259086+1342.227825*L31 - INT(0.259086+1342.227825*L31))</f>
        <v>3.86356304830037</v>
      </c>
      <c r="T31" s="36" t="n">
        <f aca="false">S31+(O31+412*SIN(2*S31)+541*SIN(Q31))/206264.8062</f>
        <v>3.86326797801226</v>
      </c>
      <c r="U31" s="36" t="n">
        <f aca="false">S31-2*R31</f>
        <v>-7.66070969818115</v>
      </c>
      <c r="V31" s="34" t="n">
        <f aca="false">-526*SIN(U31)+44*SIN(P31+U31)-31*SIN(-P31+U31)-23*SIN(Q31+U31)+11*SIN(-Q31+U31)-25*SIN(-2*P31+S31)+21*SIN(-P31+S31)</f>
        <v>510.364859665142</v>
      </c>
      <c r="W31" s="36" t="n">
        <f aca="false">2*PI()*(N31+O31/1296000-INT(N31+O31/1296000))</f>
        <v>4.87242034592037</v>
      </c>
      <c r="X31" s="35" t="n">
        <f aca="false">W31*180/PI()</f>
        <v>279.16912183491</v>
      </c>
      <c r="Y31" s="36" t="n">
        <f aca="false">(18520*SIN(T31)+V31)/206264.8062</f>
        <v>-0.056843184329096</v>
      </c>
      <c r="Z31" s="36" t="n">
        <f aca="false">Y31*180/PI()</f>
        <v>-3.25687455614138</v>
      </c>
      <c r="AA31" s="36" t="n">
        <f aca="false">COS(Y31)*COS(W31)</f>
        <v>0.15909180041315</v>
      </c>
      <c r="AB31" s="36" t="n">
        <f aca="false">COS(Y31)*SIN(W31)</f>
        <v>-0.985627784735509</v>
      </c>
      <c r="AC31" s="36" t="n">
        <f aca="false">SIN(Y31)</f>
        <v>-0.0568125778210739</v>
      </c>
      <c r="AD31" s="36" t="n">
        <f aca="false">COS($A$10*(23.4393-46.815*L31/3600))*AB31-SIN($A$10*(23.4393-46.815*L31/3600))*AC31</f>
        <v>-0.881719255995088</v>
      </c>
      <c r="AE31" s="36" t="n">
        <f aca="false">SIN($A$10*(23.4393-46.815*L31/3600))*AB31+COS($A$10*(23.4393-46.815*L31/3600))*AC31</f>
        <v>-0.444140690152086</v>
      </c>
      <c r="AF31" s="36" t="n">
        <f aca="false">SQRT(1-AE31*AE31)</f>
        <v>0.895957056644585</v>
      </c>
      <c r="AG31" s="35" t="n">
        <f aca="false">ATAN(AE31/AF31)/$A$10</f>
        <v>-26.3683734699059</v>
      </c>
      <c r="AH31" s="36" t="n">
        <f aca="false">IF(24*ATAN(AD31/(AA31+AF31))/PI()&gt;0,24*ATAN(AD31/(AA31+AF31))/PI(),24*ATAN(AD31/(AA31+AF31))/PI()+24)</f>
        <v>18.6818691331837</v>
      </c>
      <c r="AI31" s="63" t="n">
        <f aca="false">IF(M31-15*AH31&gt;0,M31-15*AH31,360+M31-15*AH31)</f>
        <v>223.985785729337</v>
      </c>
      <c r="AJ31" s="32" t="n">
        <f aca="false">0.950724+0.051818*COS(P31)+0.009531*COS(2*R31-P31)+0.007843*COS(2*R31)+0.002824*COS(2*P31)+0.000857*COS(2*R31+P31)+0.000533*COS(2*R31-Q31)*(1-0.002495*(J31-2415020)/36525)+0.000401*COS(2*R31-Q31-P31)*(1-0.002495*(J31-2415020)/36525)+0.00032*COS(P31-Q31)*(1-0.002495*(J31-2415020)/36525)-0.000271*COS(R31)</f>
        <v>1.00914068633292</v>
      </c>
      <c r="AK31" s="36" t="n">
        <f aca="false">ASIN(COS($A$10*$B$5)*COS($A$10*AG31)*COS($A$10*AI31)+SIN($A$10*$B$5)*SIN($A$10*AG31))/$A$10</f>
        <v>-48.9909370905032</v>
      </c>
      <c r="AL31" s="32" t="n">
        <f aca="false">ASIN((0.9983271+0.0016764*COS($A$10*2*$B$5))*COS($A$10*AK31)*SIN($A$10*AJ31))/$A$10</f>
        <v>0.660856287850295</v>
      </c>
      <c r="AM31" s="32" t="n">
        <f aca="false">AK31-AL31</f>
        <v>-49.6517933783535</v>
      </c>
      <c r="AN31" s="35" t="n">
        <f aca="false"> MOD(280.4664567 + 360007.6982779*L31/10 + 0.03032028*L31^2/100 + L31^3/49931000,360)</f>
        <v>309.219607038156</v>
      </c>
      <c r="AO31" s="32" t="n">
        <f aca="false"> AN31 + (1.9146 - 0.004817*L31 - 0.000014*L31^2)*SIN(Q31)+ (0.019993 - 0.000101*L31)*SIN(2*Q31)+ 0.00029*SIN(3*Q31)</f>
        <v>310.071459316008</v>
      </c>
      <c r="AP31" s="32" t="n">
        <f aca="false">ACOS(COS(W31-$A$10*AO31)*COS(Y31))/$A$10</f>
        <v>31.0566005358257</v>
      </c>
      <c r="AQ31" s="34" t="n">
        <f aca="false">180 - AP31 -0.1468*(1-0.0549*SIN(Q31))*SIN($A$10*AP31)/(1-0.0167*SIN($A$10*AO31))</f>
        <v>148.870416461036</v>
      </c>
      <c r="AR31" s="64" t="n">
        <f aca="false">SIN($A$10*AI31)</f>
        <v>-0.694479891076916</v>
      </c>
      <c r="AS31" s="64" t="n">
        <f aca="false">COS($A$10*AI31)*SIN($A$10*$B$5) - TAN($A$10*AG31)*COS($A$10*$B$5)</f>
        <v>-0.232537836264996</v>
      </c>
      <c r="AT31" s="24" t="n">
        <f aca="false">IF(OR(AND(AR31*AS31&gt;0), AND(AR31&lt;0,AS31&gt;0)), MOD(ATAN2(AS31,AR31)/$A$10+360,360),  ATAN2(AS31,AR31)/$A$10)</f>
        <v>251.487527557115</v>
      </c>
      <c r="AU31" s="39" t="n">
        <f aca="false"> 385000.56 + (-20905355*COS(P31) - 3699111*COS(2*R31-P31) - 2955968*COS(2*R31) - 569925*COS(2*P31) + (1-0.002516*L31)*48888*COS(Q31) - 3149*COS(2*S31)  +246158*COS(2*R31-2*P31) -(1 - 0.002516*L31)*152138*COS(2*R31-Q31-P31) -170733*COS(2*R31+P31) -(1 - 0.002516*L31)*204586*COS(2*R31-Q31) -(1 - 0.002516*L31)*129620*COS(Q31-P31)  + 108743*COS(R31) +(1-0.002516*L31)*104755*COS(Q31+P31) +10321*COS(2*R31-2*S31) +79661*COS(P31-2*S31) -34782*COS(4*R31-P31) -23210*COS(3*P31)  -21636*COS(4*R31-2*P31) +(1 - 0.002516*L31)*24208*COS(2*R31+Q31-P31) +(1 - 0.002516*L31)*30824*COS(2*R31+Q31) -8379*COS(R31-P31) -(1 - 0.002516*L31)*16675*COS(R31+Q31)  -(1 - 0.002516*L31)*12831*COS(2*R31-Q31+P31) -10445*COS(2*R31+2*P31) -11650*COS(4*R31) +14403*COS(2*R31-3*P31) -(1-0.002516*L31)*7003*COS(Q31-2*P31)  + (1 - 0.002516*L31)*10056*COS(2*R31-Q31-2*P31) +6322*COS(R31+P31) -(1 - 0.002516*L31)*(1-0.002516*L31)*9884*COS(2*R31-2*Q31) +(1-0.002516*L31)*5751*COS(Q31+2*P31) - (1-0.002516*L31)^2*4950*COS(2*R31-2*Q31-P31)  +4130*COS(2*R31+P31-2*S31) -(1-0.002516*L31)*3958*COS(4*R31-Q31-P31) +3258*COS(3*R31-P31) +(1 - 0.002516*L31)*2616*COS(2*R31+Q31+P31) -(1 - 0.002516*L31)*1897*COS(4*R31-Q31-2*P31)  -(1-0.002516*L31)^2*2117*COS(2*Q31-P31) +(1-0.002516*L31)^2*2354*COS(2*R31+2*Q31-P31) -1423*COS(4*R31+P31) -1117*COS(4*P31) -(1-0.002516*L31)*1571*COS(4*R31-Q31)  -1739*COS(R31-2*P31) -4421*COS(2*P31-2*S31) +(1-0.002516*L31)^2*1165*COS(2*Q31+P31) +8752*COS(2*R31-P31-2*S31))/1000</f>
        <v>362320.163753402</v>
      </c>
      <c r="AV31" s="54" t="n">
        <f aca="false">ATAN(0.99664719*TAN($A$10*input!$E$2))</f>
        <v>0.871010436227447</v>
      </c>
      <c r="AW31" s="54" t="n">
        <f aca="false">COS(AV31)</f>
        <v>0.644053912545845</v>
      </c>
      <c r="AX31" s="54" t="n">
        <f aca="false">0.99664719*SIN(AV31)</f>
        <v>0.762415269897027</v>
      </c>
      <c r="AY31" s="54" t="n">
        <f aca="false">6378.14/AU31</f>
        <v>0.01760360211236</v>
      </c>
      <c r="AZ31" s="55" t="n">
        <f aca="false">M31-15*AH31</f>
        <v>-136.014214270663</v>
      </c>
      <c r="BA31" s="56" t="n">
        <f aca="false">COS($A$10*AG31)*SIN($A$10*AZ31)</f>
        <v>-0.622224159108125</v>
      </c>
      <c r="BB31" s="56" t="n">
        <f aca="false">COS($A$10*AG31)*COS($A$10*AZ31)-AW31*AY31</f>
        <v>-0.655989623883692</v>
      </c>
      <c r="BC31" s="56" t="n">
        <f aca="false">SIN($A$10*AG31)-AX31*AY31</f>
        <v>-0.457561945207741</v>
      </c>
      <c r="BD31" s="57" t="n">
        <f aca="false">SQRT(BA31^2+BB31^2+BC31^2)</f>
        <v>1.01333519850204</v>
      </c>
      <c r="BE31" s="58" t="n">
        <f aca="false">AU31*BD31</f>
        <v>367151.775058345</v>
      </c>
    </row>
    <row r="32" customFormat="false" ht="15" hidden="false" customHeight="false" outlineLevel="0" collapsed="false">
      <c r="A32" s="22"/>
      <c r="D32" s="41" t="n">
        <f aca="false">K32-INT(275*E32/9)+IF($A$8="common year",2,1)*INT((E32+9)/12)+30</f>
        <v>31</v>
      </c>
      <c r="E32" s="41" t="n">
        <f aca="false">IF(K32&lt;32,1,INT(9*(IF($A$8="common year",2,1)+K32)/275+0.98))</f>
        <v>1</v>
      </c>
      <c r="F32" s="42" t="n">
        <f aca="false">AM32</f>
        <v>-57.5460359872991</v>
      </c>
      <c r="G32" s="60" t="n">
        <f aca="false">F32+1.02/(TAN($A$10*(F32+10.3/(F32+5.11)))*60)</f>
        <v>-57.5567653141332</v>
      </c>
      <c r="H32" s="43" t="n">
        <f aca="false">100*(1+COS($A$10*AQ32))/2</f>
        <v>2.33801297995391</v>
      </c>
      <c r="I32" s="43" t="n">
        <f aca="false">IF(AI32&gt;180,AT32-180,AT32+180)</f>
        <v>52.3318475703787</v>
      </c>
      <c r="J32" s="61" t="n">
        <f aca="false">$J$2+K31</f>
        <v>2459610.5</v>
      </c>
      <c r="K32" s="21" t="n">
        <v>31</v>
      </c>
      <c r="L32" s="62" t="n">
        <f aca="false">(J32-2451545)/36525</f>
        <v>0.22082135523614</v>
      </c>
      <c r="M32" s="63" t="n">
        <f aca="false">MOD(280.46061837+360.98564736629*(J32-2451545)+0.000387933*L32^2-L32^3/38710000+$B$7,360)</f>
        <v>145.19947009813</v>
      </c>
      <c r="N32" s="30" t="n">
        <f aca="false">0.606433+1336.855225*L32 - INT(0.606433+1336.855225*L32)</f>
        <v>0.81261553901436</v>
      </c>
      <c r="O32" s="35" t="n">
        <f aca="false">22640*SIN(P32)-4586*SIN(P32-2*R32)+2370*SIN(2*R32)+769*SIN(2*P32)-668*SIN(Q32)-412*SIN(2*S32)-212*SIN(2*P32-2*R32)-206*SIN(P32+Q32-2*R32)+192*SIN(P32+2*R32)-165*SIN(Q32-2*R32)-125*SIN(R32)-110*SIN(P32+Q32)+148*SIN(P32-Q32)-55*SIN(2*S32-2*R32)</f>
        <v>5315.25049039751</v>
      </c>
      <c r="P32" s="32" t="n">
        <f aca="false">2*PI()*(0.374897+1325.55241*L32 - INT(0.374897+1325.55241*L32))</f>
        <v>0.535180441626772</v>
      </c>
      <c r="Q32" s="36" t="n">
        <f aca="false">2*PI()*(0.993133+99.997361*L32 - INT(0.993133+99.997361*L32))</f>
        <v>0.469264570779765</v>
      </c>
      <c r="R32" s="36" t="n">
        <f aca="false">2*PI()*(0.827361+1236.853086*L32 - INT(0.827361+1236.853086*L32))</f>
        <v>5.97490508335978</v>
      </c>
      <c r="S32" s="36" t="n">
        <f aca="false">2*PI()*(0.259086+1342.227825*L32 - INT(0.259086+1342.227825*L32))</f>
        <v>4.09445876764137</v>
      </c>
      <c r="T32" s="36" t="n">
        <f aca="false">S32+(O32+412*SIN(2*S32)+541*SIN(Q32))/206264.8062</f>
        <v>4.12330039611642</v>
      </c>
      <c r="U32" s="36" t="n">
        <f aca="false">S32-2*R32</f>
        <v>-7.8553513990782</v>
      </c>
      <c r="V32" s="34" t="n">
        <f aca="false">-526*SIN(U32)+44*SIN(P32+U32)-31*SIN(-P32+U32)-23*SIN(Q32+U32)+11*SIN(-Q32+U32)-25*SIN(-2*P32+S32)+21*SIN(-P32+S32)</f>
        <v>514.03950728535</v>
      </c>
      <c r="W32" s="36" t="n">
        <f aca="false">2*PI()*(N32+O32/1296000-INT(N32+O32/1296000))</f>
        <v>5.13158307668353</v>
      </c>
      <c r="X32" s="35" t="n">
        <f aca="false">W32*180/PI()</f>
        <v>294.018052514724</v>
      </c>
      <c r="Y32" s="36" t="n">
        <f aca="false">(18520*SIN(T32)+V32)/206264.8062</f>
        <v>-0.0721614452892594</v>
      </c>
      <c r="Z32" s="36" t="n">
        <f aca="false">Y32*180/PI()</f>
        <v>-4.13454625863876</v>
      </c>
      <c r="AA32" s="36" t="n">
        <f aca="false">COS(Y32)*COS(W32)</f>
        <v>0.405965174772265</v>
      </c>
      <c r="AB32" s="36" t="n">
        <f aca="false">COS(Y32)*SIN(W32)</f>
        <v>-0.911040084178993</v>
      </c>
      <c r="AC32" s="36" t="n">
        <f aca="false">SIN(Y32)</f>
        <v>-0.0720988341879254</v>
      </c>
      <c r="AD32" s="36" t="n">
        <f aca="false">COS($A$10*(23.4393-46.815*L32/3600))*AB32-SIN($A$10*(23.4393-46.815*L32/3600))*AC32</f>
        <v>-0.807205076301042</v>
      </c>
      <c r="AE32" s="36" t="n">
        <f aca="false">SIN($A$10*(23.4393-46.815*L32/3600))*AB32+COS($A$10*(23.4393-46.815*L32/3600))*AC32</f>
        <v>-0.428499990275325</v>
      </c>
      <c r="AF32" s="36" t="n">
        <f aca="false">SQRT(1-AE32*AE32)</f>
        <v>0.903541785604876</v>
      </c>
      <c r="AG32" s="35" t="n">
        <f aca="false">ATAN(AE32/AF32)/$A$10</f>
        <v>-25.3724033643202</v>
      </c>
      <c r="AH32" s="36" t="n">
        <f aca="false">IF(24*ATAN(AD32/(AA32+AF32))/PI()&gt;0,24*ATAN(AD32/(AA32+AF32))/PI(),24*ATAN(AD32/(AA32+AF32))/PI()+24)</f>
        <v>19.7799369901881</v>
      </c>
      <c r="AI32" s="63" t="n">
        <f aca="false">IF(M32-15*AH32&gt;0,M32-15*AH32,360+M32-15*AH32)</f>
        <v>208.500415245308</v>
      </c>
      <c r="AJ32" s="32" t="n">
        <f aca="false">0.950724+0.051818*COS(P32)+0.009531*COS(2*R32-P32)+0.007843*COS(2*R32)+0.002824*COS(2*P32)+0.000857*COS(2*R32+P32)+0.000533*COS(2*R32-Q32)*(1-0.002495*(J32-2415020)/36525)+0.000401*COS(2*R32-Q32-P32)*(1-0.002495*(J32-2415020)/36525)+0.00032*COS(P32-Q32)*(1-0.002495*(J32-2415020)/36525)-0.000271*COS(R32)</f>
        <v>1.00807056352044</v>
      </c>
      <c r="AK32" s="36" t="n">
        <f aca="false">ASIN(COS($A$10*$B$5)*COS($A$10*AG32)*COS($A$10*AI32)+SIN($A$10*$B$5)*SIN($A$10*AG32))/$A$10</f>
        <v>-56.9980712282526</v>
      </c>
      <c r="AL32" s="32" t="n">
        <f aca="false">ASIN((0.9983271+0.0016764*COS($A$10*2*$B$5))*COS($A$10*AK32)*SIN($A$10*AJ32))/$A$10</f>
        <v>0.547964759046514</v>
      </c>
      <c r="AM32" s="32" t="n">
        <f aca="false">AK32-AL32</f>
        <v>-57.5460359872991</v>
      </c>
      <c r="AN32" s="35" t="n">
        <f aca="false"> MOD(280.4664567 + 360007.6982779*L32/10 + 0.03032028*L32^2/100 + L32^3/49931000,360)</f>
        <v>310.205254401926</v>
      </c>
      <c r="AO32" s="32" t="n">
        <f aca="false"> AN32 + (1.9146 - 0.004817*L32 - 0.000014*L32^2)*SIN(Q32)+ (0.019993 - 0.000101*L32)*SIN(2*Q32)+ 0.00029*SIN(3*Q32)</f>
        <v>311.087009841792</v>
      </c>
      <c r="AP32" s="32" t="n">
        <f aca="false">ACOS(COS(W32-$A$10*AO32)*COS(Y32))/$A$10</f>
        <v>17.5480732515993</v>
      </c>
      <c r="AQ32" s="34" t="n">
        <f aca="false">180 - AP32 -0.1468*(1-0.0549*SIN(Q32))*SIN($A$10*AP32)/(1-0.0167*SIN($A$10*AO32))</f>
        <v>162.409301101177</v>
      </c>
      <c r="AR32" s="64" t="n">
        <f aca="false">SIN($A$10*AI32)</f>
        <v>-0.477165129384317</v>
      </c>
      <c r="AS32" s="64" t="n">
        <f aca="false">COS($A$10*AI32)*SIN($A$10*$B$5) - TAN($A$10*AG32)*COS($A$10*$B$5)</f>
        <v>-0.368371637379914</v>
      </c>
      <c r="AT32" s="24" t="n">
        <f aca="false">IF(OR(AND(AR32*AS32&gt;0), AND(AR32&lt;0,AS32&gt;0)), MOD(ATAN2(AS32,AR32)/$A$10+360,360),  ATAN2(AS32,AR32)/$A$10)</f>
        <v>232.331847570379</v>
      </c>
      <c r="AU32" s="39" t="n">
        <f aca="false"> 385000.56 + (-20905355*COS(P32) - 3699111*COS(2*R32-P32) - 2955968*COS(2*R32) - 569925*COS(2*P32) + (1-0.002516*L32)*48888*COS(Q32) - 3149*COS(2*S32)  +246158*COS(2*R32-2*P32) -(1 - 0.002516*L32)*152138*COS(2*R32-Q32-P32) -170733*COS(2*R32+P32) -(1 - 0.002516*L32)*204586*COS(2*R32-Q32) -(1 - 0.002516*L32)*129620*COS(Q32-P32)  + 108743*COS(R32) +(1-0.002516*L32)*104755*COS(Q32+P32) +10321*COS(2*R32-2*S32) +79661*COS(P32-2*S32) -34782*COS(4*R32-P32) -23210*COS(3*P32)  -21636*COS(4*R32-2*P32) +(1 - 0.002516*L32)*24208*COS(2*R32+Q32-P32) +(1 - 0.002516*L32)*30824*COS(2*R32+Q32) -8379*COS(R32-P32) -(1 - 0.002516*L32)*16675*COS(R32+Q32)  -(1 - 0.002516*L32)*12831*COS(2*R32-Q32+P32) -10445*COS(2*R32+2*P32) -11650*COS(4*R32) +14403*COS(2*R32-3*P32) -(1-0.002516*L32)*7003*COS(Q32-2*P32)  + (1 - 0.002516*L32)*10056*COS(2*R32-Q32-2*P32) +6322*COS(R32+P32) -(1 - 0.002516*L32)*(1-0.002516*L32)*9884*COS(2*R32-2*Q32) +(1-0.002516*L32)*5751*COS(Q32+2*P32) - (1-0.002516*L32)^2*4950*COS(2*R32-2*Q32-P32)  +4130*COS(2*R32+P32-2*S32) -(1-0.002516*L32)*3958*COS(4*R32-Q32-P32) +3258*COS(3*R32-P32) +(1 - 0.002516*L32)*2616*COS(2*R32+Q32+P32) -(1 - 0.002516*L32)*1897*COS(4*R32-Q32-2*P32)  -(1-0.002516*L32)^2*2117*COS(2*Q32-P32) +(1-0.002516*L32)^2*2354*COS(2*R32+2*Q32-P32) -1423*COS(4*R32+P32) -1117*COS(4*P32) -(1-0.002516*L32)*1571*COS(4*R32-Q32)  -1739*COS(R32-2*P32) -4421*COS(2*P32-2*S32) +(1-0.002516*L32)^2*1165*COS(2*Q32+P32) +8752*COS(2*R32-P32-2*S32))/1000</f>
        <v>362631.384391472</v>
      </c>
      <c r="AV32" s="54" t="n">
        <f aca="false">ATAN(0.99664719*TAN($A$10*input!$E$2))</f>
        <v>0.871010436227447</v>
      </c>
      <c r="AW32" s="54" t="n">
        <f aca="false">COS(AV32)</f>
        <v>0.644053912545845</v>
      </c>
      <c r="AX32" s="54" t="n">
        <f aca="false">0.99664719*SIN(AV32)</f>
        <v>0.762415269897027</v>
      </c>
      <c r="AY32" s="54" t="n">
        <f aca="false">6378.14/AU32</f>
        <v>0.0175884941969463</v>
      </c>
      <c r="AZ32" s="55" t="n">
        <f aca="false">M32-15*AH32</f>
        <v>-151.499584754692</v>
      </c>
      <c r="BA32" s="56" t="n">
        <f aca="false">COS($A$10*AG32)*SIN($A$10*AZ32)</f>
        <v>-0.431138633032286</v>
      </c>
      <c r="BB32" s="56" t="n">
        <f aca="false">COS($A$10*AG32)*COS($A$10*AZ32)-AW32*AY32</f>
        <v>-0.805372797085705</v>
      </c>
      <c r="BC32" s="56" t="n">
        <f aca="false">SIN($A$10*AG32)-AX32*AY32</f>
        <v>-0.441909726825572</v>
      </c>
      <c r="BD32" s="57" t="n">
        <f aca="false">SQRT(BA32^2+BB32^2+BC32^2)</f>
        <v>1.01478572607307</v>
      </c>
      <c r="BE32" s="58" t="n">
        <f aca="false">AU32*BD32</f>
        <v>367993.152706583</v>
      </c>
    </row>
    <row r="33" customFormat="false" ht="15" hidden="false" customHeight="false" outlineLevel="0" collapsed="false">
      <c r="A33" s="69"/>
      <c r="B33" s="69"/>
      <c r="C33" s="69"/>
      <c r="D33" s="70" t="n">
        <f aca="false">K33-INT(275*E33/9)+IF($A$8="common year",2,1)*INT((E33+9)/12)+30</f>
        <v>1</v>
      </c>
      <c r="E33" s="70" t="n">
        <f aca="false">IF(K33&lt;32,1,INT(9*(IF($A$8="common year",2,1)+K33)/275+0.98))</f>
        <v>2</v>
      </c>
      <c r="F33" s="42" t="n">
        <f aca="false">AM33</f>
        <v>-61.0982375337935</v>
      </c>
      <c r="G33" s="60" t="n">
        <f aca="false">F33+1.02/(TAN($A$10*(F33+10.3/(F33+5.11)))*60)</f>
        <v>-61.1075516256654</v>
      </c>
      <c r="H33" s="43" t="n">
        <f aca="false">100*(1+COS($A$10*AQ33))/2</f>
        <v>0.25371628032323</v>
      </c>
      <c r="I33" s="43" t="n">
        <f aca="false">IF(AI33&gt;180,AT33-180,AT33+180)</f>
        <v>26.2587609898919</v>
      </c>
      <c r="J33" s="44" t="n">
        <f aca="false">$J$2+K32</f>
        <v>2459611.5</v>
      </c>
      <c r="K33" s="11" t="n">
        <v>32</v>
      </c>
      <c r="L33" s="45" t="n">
        <f aca="false">(J33-2451545)/36525</f>
        <v>0.220848733744011</v>
      </c>
      <c r="M33" s="46" t="n">
        <f aca="false">MOD(280.46061837+360.98564736629*(J33-2451545)+0.000387933*L33^2-L33^3/38710000+$B$7,360)</f>
        <v>146.185117469169</v>
      </c>
      <c r="N33" s="47" t="n">
        <f aca="false">0.606433+1336.855225*L33 - INT(0.606433+1336.855225*L33)</f>
        <v>0.849216640314864</v>
      </c>
      <c r="O33" s="46" t="n">
        <f aca="false">22640*SIN(P33)-4586*SIN(P33-2*R33)+2370*SIN(2*R33)+769*SIN(2*P33)-668*SIN(Q33)-412*SIN(2*S33)-212*SIN(2*P33-2*R33)-206*SIN(P33+Q33-2*R33)+192*SIN(P33+2*R33)-165*SIN(Q33-2*R33)-125*SIN(R33)-110*SIN(P33+Q33)+148*SIN(P33-Q33)-55*SIN(2*S33-2*R33)</f>
        <v>11130.3764157456</v>
      </c>
      <c r="P33" s="48" t="n">
        <f aca="false">2*PI()*(0.374897+1325.55241*L33 - INT(0.374897+1325.55241*L33))</f>
        <v>0.763207585402232</v>
      </c>
      <c r="Q33" s="51" t="n">
        <f aca="false">2*PI()*(0.993133+99.997361*L33 - INT(0.993133+99.997361*L33))</f>
        <v>0.48646654064675</v>
      </c>
      <c r="R33" s="51" t="n">
        <f aca="false">2*PI()*(0.827361+1236.853086*L33 - INT(0.827361+1236.853086*L33))</f>
        <v>6.18767379347845</v>
      </c>
      <c r="S33" s="51" t="n">
        <f aca="false">2*PI()*(0.259086+1342.227825*L33 - INT(0.259086+1342.227825*L33))</f>
        <v>4.32535448698238</v>
      </c>
      <c r="T33" s="51" t="n">
        <f aca="false">S33+(O33+412*SIN(2*S33)+541*SIN(Q33))/206264.8062</f>
        <v>4.38193857344807</v>
      </c>
      <c r="U33" s="51" t="n">
        <f aca="false">S33-2*R33</f>
        <v>-8.04999309997453</v>
      </c>
      <c r="V33" s="50" t="n">
        <f aca="false">-526*SIN(U33)+44*SIN(P33+U33)-31*SIN(-P33+U33)-23*SIN(Q33+U33)+11*SIN(-Q33+U33)-25*SIN(-2*P33+S33)+21*SIN(-P33+S33)</f>
        <v>493.143794708787</v>
      </c>
      <c r="W33" s="51" t="n">
        <f aca="false">2*PI()*(N33+O33/1296000-INT(N33+O33/1296000))</f>
        <v>5.38974710466129</v>
      </c>
      <c r="X33" s="46" t="n">
        <f aca="false">W33*180/PI()</f>
        <v>308.809761739947</v>
      </c>
      <c r="Y33" s="51" t="n">
        <f aca="false">(18520*SIN(T33)+V33)/206264.8062</f>
        <v>-0.0825388292227683</v>
      </c>
      <c r="Z33" s="51" t="n">
        <f aca="false">Y33*180/PI()</f>
        <v>-4.72912656041569</v>
      </c>
      <c r="AA33" s="51" t="n">
        <f aca="false">COS(Y33)*COS(W33)</f>
        <v>0.624602922228358</v>
      </c>
      <c r="AB33" s="51" t="n">
        <f aca="false">COS(Y33)*SIN(W33)</f>
        <v>-0.776578384929296</v>
      </c>
      <c r="AC33" s="51" t="n">
        <f aca="false">SIN(Y33)</f>
        <v>-0.0824451430006727</v>
      </c>
      <c r="AD33" s="51" t="n">
        <f aca="false">COS($A$10*(23.4393-46.815*L33/3600))*AB33-SIN($A$10*(23.4393-46.815*L33/3600))*AC33</f>
        <v>-0.679721158393877</v>
      </c>
      <c r="AE33" s="51" t="n">
        <f aca="false">SIN($A$10*(23.4393-46.815*L33/3600))*AB33+COS($A$10*(23.4393-46.815*L33/3600))*AC33</f>
        <v>-0.384513115999288</v>
      </c>
      <c r="AF33" s="51" t="n">
        <f aca="false">SQRT(1-AE33*AE33)</f>
        <v>0.923119528351837</v>
      </c>
      <c r="AG33" s="46" t="n">
        <f aca="false">ATAN(AE33/AF33)/$A$10</f>
        <v>-22.6135172377863</v>
      </c>
      <c r="AH33" s="51" t="n">
        <f aca="false">IF(24*ATAN(AD33/(AA33+AF33))/PI()&gt;0,24*ATAN(AD33/(AA33+AF33))/PI(),24*ATAN(AD33/(AA33+AF33))/PI()+24)</f>
        <v>20.8386819888885</v>
      </c>
      <c r="AI33" s="46" t="n">
        <f aca="false">IF(M33-15*AH33&gt;0,M33-15*AH33,360+M33-15*AH33)</f>
        <v>193.604887635841</v>
      </c>
      <c r="AJ33" s="48" t="n">
        <f aca="false">0.950724+0.051818*COS(P33)+0.009531*COS(2*R33-P33)+0.007843*COS(2*R33)+0.002824*COS(2*P33)+0.000857*COS(2*R33+P33)+0.000533*COS(2*R33-Q33)*(1-0.002495*(J33-2415020)/36525)+0.000401*COS(2*R33-Q33-P33)*(1-0.002495*(J33-2415020)/36525)+0.00032*COS(P33-Q33)*(1-0.002495*(J33-2415020)/36525)-0.000271*COS(R33)</f>
        <v>1.00272916245432</v>
      </c>
      <c r="AK33" s="51" t="n">
        <f aca="false">ASIN(COS($A$10*$B$5)*COS($A$10*AG33)*COS($A$10*AI33)+SIN($A$10*$B$5)*SIN($A$10*AG33))/$A$10</f>
        <v>-60.6070877075755</v>
      </c>
      <c r="AL33" s="48" t="n">
        <f aca="false">ASIN((0.9983271+0.0016764*COS($A$10*2*$B$5))*COS($A$10*AK33)*SIN($A$10*AJ33))/$A$10</f>
        <v>0.491149826218</v>
      </c>
      <c r="AM33" s="48" t="n">
        <f aca="false">AK33-AL33</f>
        <v>-61.0982375337935</v>
      </c>
      <c r="AN33" s="46" t="n">
        <f aca="false"> MOD(280.4664567 + 360007.6982779*L33/10 + 0.03032028*L33^2/100 + L33^3/49931000,360)</f>
        <v>311.190901765694</v>
      </c>
      <c r="AO33" s="48" t="n">
        <f aca="false"> AN33 + (1.9146 - 0.004817*L33 - 0.000014*L33^2)*SIN(Q33)+ (0.019993 - 0.000101*L33)*SIN(2*Q33)+ 0.00029*SIN(3*Q33)</f>
        <v>312.102284474723</v>
      </c>
      <c r="AP33" s="48" t="n">
        <f aca="false">ACOS(COS(W33-$A$10*AO33)*COS(Y33))/$A$10</f>
        <v>5.76026990446851</v>
      </c>
      <c r="AQ33" s="50" t="n">
        <f aca="false">180 - AP33 -0.1468*(1-0.0549*SIN(Q33))*SIN($A$10*AP33)/(1-0.0167*SIN($A$10*AO33))</f>
        <v>174.225550162891</v>
      </c>
      <c r="AR33" s="44" t="n">
        <f aca="false">SIN($A$10*AI33)</f>
        <v>-0.235225025708668</v>
      </c>
      <c r="AS33" s="44" t="n">
        <f aca="false">COS($A$10*AI33)*SIN($A$10*$B$5) - TAN($A$10*AG33)*COS($A$10*$B$5)</f>
        <v>-0.476805357043909</v>
      </c>
      <c r="AT33" s="71" t="n">
        <f aca="false">IF(OR(AND(AR33*AS33&gt;0), AND(AR33&lt;0,AS33&gt;0)), MOD(ATAN2(AS33,AR33)/$A$10+360,360),  ATAN2(AS33,AR33)/$A$10)</f>
        <v>206.258760989892</v>
      </c>
      <c r="AU33" s="39" t="n">
        <f aca="false"> 385000.56 + (-20905355*COS(P33) - 3699111*COS(2*R33-P33) - 2955968*COS(2*R33) - 569925*COS(2*P33) + (1-0.002516*L33)*48888*COS(Q33) - 3149*COS(2*S33)  +246158*COS(2*R33-2*P33) -(1 - 0.002516*L33)*152138*COS(2*R33-Q33-P33) -170733*COS(2*R33+P33) -(1 - 0.002516*L33)*204586*COS(2*R33-Q33) -(1 - 0.002516*L33)*129620*COS(Q33-P33)  + 108743*COS(R33) +(1-0.002516*L33)*104755*COS(Q33+P33) +10321*COS(2*R33-2*S33) +79661*COS(P33-2*S33) -34782*COS(4*R33-P33) -23210*COS(3*P33)  -21636*COS(4*R33-2*P33) +(1 - 0.002516*L33)*24208*COS(2*R33+Q33-P33) +(1 - 0.002516*L33)*30824*COS(2*R33+Q33) -8379*COS(R33-P33) -(1 - 0.002516*L33)*16675*COS(R33+Q33)  -(1 - 0.002516*L33)*12831*COS(2*R33-Q33+P33) -10445*COS(2*R33+2*P33) -11650*COS(4*R33) +14403*COS(2*R33-3*P33) -(1-0.002516*L33)*7003*COS(Q33-2*P33)  + (1 - 0.002516*L33)*10056*COS(2*R33-Q33-2*P33) +6322*COS(R33+P33) -(1 - 0.002516*L33)*(1-0.002516*L33)*9884*COS(2*R33-2*Q33) +(1-0.002516*L33)*5751*COS(Q33+2*P33) - (1-0.002516*L33)^2*4950*COS(2*R33-2*Q33-P33)  +4130*COS(2*R33+P33-2*S33) -(1-0.002516*L33)*3958*COS(4*R33-Q33-P33) +3258*COS(3*R33-P33) +(1 - 0.002516*L33)*2616*COS(2*R33+Q33+P33) -(1 - 0.002516*L33)*1897*COS(4*R33-Q33-2*P33)  -(1-0.002516*L33)^2*2117*COS(2*Q33-P33) +(1-0.002516*L33)^2*2354*COS(2*R33+2*Q33-P33) -1423*COS(4*R33+P33) -1117*COS(4*P33) -(1-0.002516*L33)*1571*COS(4*R33-Q33)  -1739*COS(R33-2*P33) -4421*COS(2*P33-2*S33) +(1-0.002516*L33)^2*1165*COS(2*Q33+P33) +8752*COS(2*R33-P33-2*S33))/1000</f>
        <v>364502.452044508</v>
      </c>
      <c r="AV33" s="72" t="n">
        <f aca="false">ATAN(0.99664719*TAN($A$10*input!$E$2))</f>
        <v>0.871010436227447</v>
      </c>
      <c r="AW33" s="72" t="n">
        <f aca="false">COS(AV33)</f>
        <v>0.644053912545845</v>
      </c>
      <c r="AX33" s="72" t="n">
        <f aca="false">0.99664719*SIN(AV33)</f>
        <v>0.762415269897027</v>
      </c>
      <c r="AY33" s="72" t="n">
        <f aca="false">6378.14/AU33</f>
        <v>0.0174982087616277</v>
      </c>
      <c r="AZ33" s="73" t="n">
        <f aca="false">M33-15*AH33</f>
        <v>-166.395112364159</v>
      </c>
      <c r="BA33" s="74" t="n">
        <f aca="false">COS($A$10*AG33)*SIN($A$10*AZ33)</f>
        <v>-0.217140814788733</v>
      </c>
      <c r="BB33" s="74" t="n">
        <f aca="false">COS($A$10*AG33)*COS($A$10*AZ33)-AW33*AY33</f>
        <v>-0.908487450239853</v>
      </c>
      <c r="BC33" s="74" t="n">
        <f aca="false">SIN($A$10*AG33)-AX33*AY33</f>
        <v>-0.397854017554999</v>
      </c>
      <c r="BD33" s="75" t="n">
        <f aca="false">SQRT(BA33^2+BB33^2+BC33^2)</f>
        <v>1.01527700652338</v>
      </c>
      <c r="BE33" s="58" t="n">
        <f aca="false">AU33*BD33</f>
        <v>370070.95838218</v>
      </c>
      <c r="BH33" s="69"/>
      <c r="BI33" s="69"/>
      <c r="BJ33" s="69"/>
      <c r="BK33" s="69"/>
      <c r="BL33" s="69"/>
    </row>
    <row r="34" customFormat="false" ht="15" hidden="false" customHeight="false" outlineLevel="0" collapsed="false">
      <c r="A34" s="22"/>
      <c r="D34" s="41" t="n">
        <f aca="false">K34-INT(275*E34/9)+IF($A$8="common year",2,1)*INT((E34+9)/12)+30</f>
        <v>2</v>
      </c>
      <c r="E34" s="41" t="n">
        <f aca="false">IF(K34&lt;32,1,INT(9*(IF($A$8="common year",2,1)+K34)/275+0.98))</f>
        <v>2</v>
      </c>
      <c r="F34" s="42" t="n">
        <f aca="false">AM34</f>
        <v>-58.9532664035323</v>
      </c>
      <c r="G34" s="60" t="n">
        <f aca="false">F34+1.02/(TAN($A$10*(F34+10.3/(F34+5.11)))*60)</f>
        <v>-58.9634227441447</v>
      </c>
      <c r="H34" s="43" t="n">
        <f aca="false">100*(1+COS($A$10*AQ34))/2</f>
        <v>0.996731048092781</v>
      </c>
      <c r="I34" s="43" t="n">
        <f aca="false">IF(AI34&gt;180,AT34-180,AT34+180)</f>
        <v>359.458282246156</v>
      </c>
      <c r="J34" s="61" t="n">
        <f aca="false">$J$2+K33</f>
        <v>2459612.5</v>
      </c>
      <c r="K34" s="21" t="n">
        <v>33</v>
      </c>
      <c r="L34" s="62" t="n">
        <f aca="false">(J34-2451545)/36525</f>
        <v>0.220876112251882</v>
      </c>
      <c r="M34" s="63" t="n">
        <f aca="false">MOD(280.46061837+360.98564736629*(J34-2451545)+0.000387933*L34^2-L34^3/38710000+$B$7,360)</f>
        <v>147.170764840208</v>
      </c>
      <c r="N34" s="30" t="n">
        <f aca="false">0.606433+1336.855225*L34 - INT(0.606433+1336.855225*L34)</f>
        <v>0.885817741615313</v>
      </c>
      <c r="O34" s="35" t="n">
        <f aca="false">22640*SIN(P34)-4586*SIN(P34-2*R34)+2370*SIN(2*R34)+769*SIN(2*P34)-668*SIN(Q34)-412*SIN(2*S34)-212*SIN(2*P34-2*R34)-206*SIN(P34+Q34-2*R34)+192*SIN(P34+2*R34)-165*SIN(Q34-2*R34)-125*SIN(R34)-110*SIN(P34+Q34)+148*SIN(P34-Q34)-55*SIN(2*S34-2*R34)</f>
        <v>16249.3663276403</v>
      </c>
      <c r="P34" s="32" t="n">
        <f aca="false">2*PI()*(0.374897+1325.55241*L34 - INT(0.374897+1325.55241*L34))</f>
        <v>0.99123472917805</v>
      </c>
      <c r="Q34" s="36" t="n">
        <f aca="false">2*PI()*(0.993133+99.997361*L34 - INT(0.993133+99.997361*L34))</f>
        <v>0.503668510513757</v>
      </c>
      <c r="R34" s="36" t="n">
        <f aca="false">2*PI()*(0.827361+1236.853086*L34 - INT(0.827361+1236.853086*L34))</f>
        <v>0.11725719641789</v>
      </c>
      <c r="S34" s="36" t="n">
        <f aca="false">2*PI()*(0.259086+1342.227825*L34 - INT(0.259086+1342.227825*L34))</f>
        <v>4.55625020632338</v>
      </c>
      <c r="T34" s="36" t="n">
        <f aca="false">S34+(O34+412*SIN(2*S34)+541*SIN(Q34))/206264.8062</f>
        <v>4.63690891520116</v>
      </c>
      <c r="U34" s="36" t="n">
        <f aca="false">S34-2*R34</f>
        <v>4.3217358134876</v>
      </c>
      <c r="V34" s="34" t="n">
        <f aca="false">-526*SIN(U34)+44*SIN(P34+U34)-31*SIN(-P34+U34)-23*SIN(Q34+U34)+11*SIN(-Q34+U34)-25*SIN(-2*P34+S34)+21*SIN(-P34+S34)</f>
        <v>449.786001647904</v>
      </c>
      <c r="W34" s="36" t="n">
        <f aca="false">2*PI()*(N34+O34/1296000-INT(N34+O34/1296000))</f>
        <v>5.64453617000634</v>
      </c>
      <c r="X34" s="35" t="n">
        <f aca="false">W34*180/PI()</f>
        <v>323.408099850302</v>
      </c>
      <c r="Y34" s="36" t="n">
        <f aca="false">(18520*SIN(T34)+V34)/206264.8062</f>
        <v>-0.0873512206376135</v>
      </c>
      <c r="Z34" s="36" t="n">
        <f aca="false">Y34*180/PI()</f>
        <v>-5.00485627785131</v>
      </c>
      <c r="AA34" s="36" t="n">
        <f aca="false">COS(Y34)*COS(W34)</f>
        <v>0.799840537308106</v>
      </c>
      <c r="AB34" s="36" t="n">
        <f aca="false">COS(Y34)*SIN(W34)</f>
        <v>-0.593838586007382</v>
      </c>
      <c r="AC34" s="36" t="n">
        <f aca="false">SIN(Y34)</f>
        <v>-0.0872401779424706</v>
      </c>
      <c r="AD34" s="36" t="n">
        <f aca="false">COS($A$10*(23.4393-46.815*L34/3600))*AB34-SIN($A$10*(23.4393-46.815*L34/3600))*AC34</f>
        <v>-0.510149905208929</v>
      </c>
      <c r="AE34" s="36" t="n">
        <f aca="false">SIN($A$10*(23.4393-46.815*L34/3600))*AB34+COS($A$10*(23.4393-46.815*L34/3600))*AC34</f>
        <v>-0.316231227259425</v>
      </c>
      <c r="AF34" s="36" t="n">
        <f aca="false">SQRT(1-AE34*AE34)</f>
        <v>0.948682144295969</v>
      </c>
      <c r="AG34" s="35" t="n">
        <f aca="false">ATAN(AE34/AF34)/$A$10</f>
        <v>-18.4351578649839</v>
      </c>
      <c r="AH34" s="36" t="n">
        <f aca="false">IF(24*ATAN(AD34/(AA34+AF34))/PI()&gt;0,24*ATAN(AD34/(AA34+AF34))/PI(),24*ATAN(AD34/(AA34+AF34))/PI()+24)</f>
        <v>21.8313118732768</v>
      </c>
      <c r="AI34" s="63" t="n">
        <f aca="false">IF(M34-15*AH34&gt;0,M34-15*AH34,360+M34-15*AH34)</f>
        <v>179.701086741056</v>
      </c>
      <c r="AJ34" s="32" t="n">
        <f aca="false">0.950724+0.051818*COS(P34)+0.009531*COS(2*R34-P34)+0.007843*COS(2*R34)+0.002824*COS(2*P34)+0.000857*COS(2*R34+P34)+0.000533*COS(2*R34-Q34)*(1-0.002495*(J34-2415020)/36525)+0.000401*COS(2*R34-Q34-P34)*(1-0.002495*(J34-2415020)/36525)+0.00032*COS(P34-Q34)*(1-0.002495*(J34-2415020)/36525)-0.000271*COS(R34)</f>
        <v>0.993467660873673</v>
      </c>
      <c r="AK34" s="36" t="n">
        <f aca="false">ASIN(COS($A$10*$B$5)*COS($A$10*AG34)*COS($A$10*AI34)+SIN($A$10*$B$5)*SIN($A$10*AG34))/$A$10</f>
        <v>-58.4342495567837</v>
      </c>
      <c r="AL34" s="32" t="n">
        <f aca="false">ASIN((0.9983271+0.0016764*COS($A$10*2*$B$5))*COS($A$10*AK34)*SIN($A$10*AJ34))/$A$10</f>
        <v>0.519016846748637</v>
      </c>
      <c r="AM34" s="32" t="n">
        <f aca="false">AK34-AL34</f>
        <v>-58.9532664035323</v>
      </c>
      <c r="AN34" s="35" t="n">
        <f aca="false"> MOD(280.4664567 + 360007.6982779*L34/10 + 0.03032028*L34^2/100 + L34^3/49931000,360)</f>
        <v>312.176549129466</v>
      </c>
      <c r="AO34" s="32" t="n">
        <f aca="false"> AN34 + (1.9146 - 0.004817*L34 - 0.000014*L34^2)*SIN(Q34)+ (0.019993 - 0.000101*L34)*SIN(2*Q34)+ 0.00029*SIN(3*Q34)</f>
        <v>313.117274091408</v>
      </c>
      <c r="AP34" s="32" t="n">
        <f aca="false">ACOS(COS(W34-$A$10*AO34)*COS(Y34))/$A$10</f>
        <v>11.4315184353411</v>
      </c>
      <c r="AQ34" s="34" t="n">
        <f aca="false">180 - AP34 -0.1468*(1-0.0549*SIN(Q34))*SIN($A$10*AP34)/(1-0.0167*SIN($A$10*AO34))</f>
        <v>168.540498370464</v>
      </c>
      <c r="AR34" s="64" t="n">
        <f aca="false">SIN($A$10*AI34)</f>
        <v>0.00521699688093974</v>
      </c>
      <c r="AS34" s="64" t="n">
        <f aca="false">COS($A$10*AI34)*SIN($A$10*$B$5) - TAN($A$10*AG34)*COS($A$10*$B$5)</f>
        <v>-0.551768875975535</v>
      </c>
      <c r="AT34" s="24" t="n">
        <f aca="false">IF(OR(AND(AR34*AS34&gt;0), AND(AR34&lt;0,AS34&gt;0)), MOD(ATAN2(AS34,AR34)/$A$10+360,360),  ATAN2(AS34,AR34)/$A$10)</f>
        <v>179.458282246156</v>
      </c>
      <c r="AU34" s="39" t="n">
        <f aca="false"> 385000.56 + (-20905355*COS(P34) - 3699111*COS(2*R34-P34) - 2955968*COS(2*R34) - 569925*COS(2*P34) + (1-0.002516*L34)*48888*COS(Q34) - 3149*COS(2*S34)  +246158*COS(2*R34-2*P34) -(1 - 0.002516*L34)*152138*COS(2*R34-Q34-P34) -170733*COS(2*R34+P34) -(1 - 0.002516*L34)*204586*COS(2*R34-Q34) -(1 - 0.002516*L34)*129620*COS(Q34-P34)  + 108743*COS(R34) +(1-0.002516*L34)*104755*COS(Q34+P34) +10321*COS(2*R34-2*S34) +79661*COS(P34-2*S34) -34782*COS(4*R34-P34) -23210*COS(3*P34)  -21636*COS(4*R34-2*P34) +(1 - 0.002516*L34)*24208*COS(2*R34+Q34-P34) +(1 - 0.002516*L34)*30824*COS(2*R34+Q34) -8379*COS(R34-P34) -(1 - 0.002516*L34)*16675*COS(R34+Q34)  -(1 - 0.002516*L34)*12831*COS(2*R34-Q34+P34) -10445*COS(2*R34+2*P34) -11650*COS(4*R34) +14403*COS(2*R34-3*P34) -(1-0.002516*L34)*7003*COS(Q34-2*P34)  + (1 - 0.002516*L34)*10056*COS(2*R34-Q34-2*P34) +6322*COS(R34+P34) -(1 - 0.002516*L34)*(1-0.002516*L34)*9884*COS(2*R34-2*Q34) +(1-0.002516*L34)*5751*COS(Q34+2*P34) - (1-0.002516*L34)^2*4950*COS(2*R34-2*Q34-P34)  +4130*COS(2*R34+P34-2*S34) -(1-0.002516*L34)*3958*COS(4*R34-Q34-P34) +3258*COS(3*R34-P34) +(1 - 0.002516*L34)*2616*COS(2*R34+Q34+P34) -(1 - 0.002516*L34)*1897*COS(4*R34-Q34-2*P34)  -(1-0.002516*L34)^2*2117*COS(2*Q34-P34) +(1-0.002516*L34)^2*2354*COS(2*R34+2*Q34-P34) -1423*COS(4*R34+P34) -1117*COS(4*P34) -(1-0.002516*L34)*1571*COS(4*R34-Q34)  -1739*COS(R34-2*P34) -4421*COS(2*P34-2*S34) +(1-0.002516*L34)^2*1165*COS(2*Q34+P34) +8752*COS(2*R34-P34-2*S34))/1000</f>
        <v>367853.923071053</v>
      </c>
      <c r="AV34" s="54" t="n">
        <f aca="false">ATAN(0.99664719*TAN($A$10*input!$E$2))</f>
        <v>0.871010436227447</v>
      </c>
      <c r="AW34" s="54" t="n">
        <f aca="false">COS(AV34)</f>
        <v>0.644053912545845</v>
      </c>
      <c r="AX34" s="54" t="n">
        <f aca="false">0.99664719*SIN(AV34)</f>
        <v>0.762415269897027</v>
      </c>
      <c r="AY34" s="54" t="n">
        <f aca="false">6378.14/AU34</f>
        <v>0.0173387847729112</v>
      </c>
      <c r="AZ34" s="55" t="n">
        <f aca="false">M34-15*AH34</f>
        <v>-180.298913258944</v>
      </c>
      <c r="BA34" s="56" t="n">
        <f aca="false">COS($A$10*AG34)*SIN($A$10*AZ34)</f>
        <v>0.00494927178779633</v>
      </c>
      <c r="BB34" s="56" t="n">
        <f aca="false">COS($A$10*AG34)*COS($A$10*AZ34)-AW34*AY34</f>
        <v>-0.959836346212168</v>
      </c>
      <c r="BC34" s="56" t="n">
        <f aca="false">SIN($A$10*AG34)-AX34*AY34</f>
        <v>-0.32945058153175</v>
      </c>
      <c r="BD34" s="57" t="n">
        <f aca="false">SQRT(BA34^2+BB34^2+BC34^2)</f>
        <v>1.01481426501245</v>
      </c>
      <c r="BE34" s="58" t="n">
        <f aca="false">AU34*BD34</f>
        <v>373303.408573297</v>
      </c>
    </row>
    <row r="35" customFormat="false" ht="15" hidden="false" customHeight="false" outlineLevel="0" collapsed="false">
      <c r="A35" s="22"/>
      <c r="D35" s="41" t="n">
        <f aca="false">K35-INT(275*E35/9)+IF($A$8="common year",2,1)*INT((E35+9)/12)+30</f>
        <v>3</v>
      </c>
      <c r="E35" s="41" t="n">
        <f aca="false">IF(K35&lt;32,1,INT(9*(IF($A$8="common year",2,1)+K35)/275+0.98))</f>
        <v>2</v>
      </c>
      <c r="F35" s="42" t="n">
        <f aca="false">AM35</f>
        <v>-52.3517448981891</v>
      </c>
      <c r="G35" s="60" t="n">
        <f aca="false">F35+1.02/(TAN($A$10*(F35+10.3/(F35+5.11)))*60)</f>
        <v>-52.364756596703</v>
      </c>
      <c r="H35" s="43" t="n">
        <f aca="false">100*(1+COS($A$10*AQ35))/2</f>
        <v>4.36010289525645</v>
      </c>
      <c r="I35" s="43" t="n">
        <f aca="false">IF(AI35&gt;180,AT35-180,AT35+180)</f>
        <v>339.111824620042</v>
      </c>
      <c r="J35" s="61" t="n">
        <f aca="false">$J$2+K34</f>
        <v>2459613.5</v>
      </c>
      <c r="K35" s="21" t="n">
        <v>34</v>
      </c>
      <c r="L35" s="62" t="n">
        <f aca="false">(J35-2451545)/36525</f>
        <v>0.220903490759754</v>
      </c>
      <c r="M35" s="63" t="n">
        <f aca="false">MOD(280.46061837+360.98564736629*(J35-2451545)+0.000387933*L35^2-L35^3/38710000+$B$7,360)</f>
        <v>148.156412210781</v>
      </c>
      <c r="N35" s="30" t="n">
        <f aca="false">0.606433+1336.855225*L35 - INT(0.606433+1336.855225*L35)</f>
        <v>0.922418842915818</v>
      </c>
      <c r="O35" s="35" t="n">
        <f aca="false">22640*SIN(P35)-4586*SIN(P35-2*R35)+2370*SIN(2*R35)+769*SIN(2*P35)-668*SIN(Q35)-412*SIN(2*S35)-212*SIN(2*P35-2*R35)-206*SIN(P35+Q35-2*R35)+192*SIN(P35+2*R35)-165*SIN(Q35-2*R35)-125*SIN(R35)-110*SIN(P35+Q35)+148*SIN(P35-Q35)-55*SIN(2*S35-2*R35)</f>
        <v>20237.8921908496</v>
      </c>
      <c r="P35" s="32" t="n">
        <f aca="false">2*PI()*(0.374897+1325.55241*L35 - INT(0.374897+1325.55241*L35))</f>
        <v>1.21926187295387</v>
      </c>
      <c r="Q35" s="36" t="n">
        <f aca="false">2*PI()*(0.993133+99.997361*L35 - INT(0.993133+99.997361*L35))</f>
        <v>0.520870480380742</v>
      </c>
      <c r="R35" s="36" t="n">
        <f aca="false">2*PI()*(0.827361+1236.853086*L35 - INT(0.827361+1236.853086*L35))</f>
        <v>0.330025906536914</v>
      </c>
      <c r="S35" s="36" t="n">
        <f aca="false">2*PI()*(0.259086+1342.227825*L35 - INT(0.259086+1342.227825*L35))</f>
        <v>4.78714592566403</v>
      </c>
      <c r="T35" s="36" t="n">
        <f aca="false">S35+(O35+412*SIN(2*S35)+541*SIN(Q35))/206264.8062</f>
        <v>4.8862696822906</v>
      </c>
      <c r="U35" s="36" t="n">
        <f aca="false">S35-2*R35</f>
        <v>4.1270941125902</v>
      </c>
      <c r="V35" s="34" t="n">
        <f aca="false">-526*SIN(U35)+44*SIN(P35+U35)-31*SIN(-P35+U35)-23*SIN(Q35+U35)+11*SIN(-Q35+U35)-25*SIN(-2*P35+S35)+21*SIN(-P35+S35)</f>
        <v>387.3448442374</v>
      </c>
      <c r="W35" s="36" t="n">
        <f aca="false">2*PI()*(N35+O35/1296000-INT(N35+O35/1296000))</f>
        <v>5.8938445909837</v>
      </c>
      <c r="X35" s="35" t="n">
        <f aca="false">W35*180/PI()</f>
        <v>337.692420169375</v>
      </c>
      <c r="Y35" s="36" t="n">
        <f aca="false">(18520*SIN(T35)+V35)/206264.8062</f>
        <v>-0.0865556694706761</v>
      </c>
      <c r="Z35" s="36" t="n">
        <f aca="false">Y35*180/PI()</f>
        <v>-4.95927455359909</v>
      </c>
      <c r="AA35" s="36" t="n">
        <f aca="false">COS(Y35)*COS(W35)</f>
        <v>0.921696080177088</v>
      </c>
      <c r="AB35" s="36" t="n">
        <f aca="false">COS(Y35)*SIN(W35)</f>
        <v>-0.378157563233928</v>
      </c>
      <c r="AC35" s="36" t="n">
        <f aca="false">SIN(Y35)</f>
        <v>-0.0864476324439816</v>
      </c>
      <c r="AD35" s="36" t="n">
        <f aca="false">COS($A$10*(23.4393-46.815*L35/3600))*AB35-SIN($A$10*(23.4393-46.815*L35/3600))*AC35</f>
        <v>-0.312577369913484</v>
      </c>
      <c r="AE35" s="36" t="n">
        <f aca="false">SIN($A$10*(23.4393-46.815*L35/3600))*AB35+COS($A$10*(23.4393-46.815*L35/3600))*AC35</f>
        <v>-0.229720969012759</v>
      </c>
      <c r="AF35" s="36" t="n">
        <f aca="false">SQRT(1-AE35*AE35)</f>
        <v>0.973256531648177</v>
      </c>
      <c r="AG35" s="35" t="n">
        <f aca="false">ATAN(AE35/AF35)/$A$10</f>
        <v>-13.28064458891</v>
      </c>
      <c r="AH35" s="36" t="n">
        <f aca="false">IF(24*ATAN(AD35/(AA35+AF35))/PI()&gt;0,24*ATAN(AD35/(AA35+AF35))/PI(),24*ATAN(AD35/(AA35+AF35))/PI()+24)</f>
        <v>22.7511011305351</v>
      </c>
      <c r="AI35" s="63" t="n">
        <f aca="false">IF(M35-15*AH35&gt;0,M35-15*AH35,360+M35-15*AH35)</f>
        <v>166.889895252755</v>
      </c>
      <c r="AJ35" s="32" t="n">
        <f aca="false">0.950724+0.051818*COS(P35)+0.009531*COS(2*R35-P35)+0.007843*COS(2*R35)+0.002824*COS(2*P35)+0.000857*COS(2*R35+P35)+0.000533*COS(2*R35-Q35)*(1-0.002495*(J35-2415020)/36525)+0.000401*COS(2*R35-Q35-P35)*(1-0.002495*(J35-2415020)/36525)+0.00032*COS(P35-Q35)*(1-0.002495*(J35-2415020)/36525)-0.000271*COS(R35)</f>
        <v>0.981129844082538</v>
      </c>
      <c r="AK35" s="36" t="n">
        <f aca="false">ASIN(COS($A$10*$B$5)*COS($A$10*AG35)*COS($A$10*AI35)+SIN($A$10*$B$5)*SIN($A$10*AG35))/$A$10</f>
        <v>-51.7454840145966</v>
      </c>
      <c r="AL35" s="32" t="n">
        <f aca="false">ASIN((0.9983271+0.0016764*COS($A$10*2*$B$5))*COS($A$10*AK35)*SIN($A$10*AJ35))/$A$10</f>
        <v>0.60626088359254</v>
      </c>
      <c r="AM35" s="32" t="n">
        <f aca="false">AK35-AL35</f>
        <v>-52.3517448981891</v>
      </c>
      <c r="AN35" s="35" t="n">
        <f aca="false"> MOD(280.4664567 + 360007.6982779*L35/10 + 0.03032028*L35^2/100 + L35^3/49931000,360)</f>
        <v>313.162196493237</v>
      </c>
      <c r="AO35" s="32" t="n">
        <f aca="false"> AN35 + (1.9146 - 0.004817*L35 - 0.000014*L35^2)*SIN(Q35)+ (0.019993 - 0.000101*L35)*SIN(2*Q35)+ 0.00029*SIN(3*Q35)</f>
        <v>314.131969671939</v>
      </c>
      <c r="AP35" s="32" t="n">
        <f aca="false">ACOS(COS(W35-$A$10*AO35)*COS(Y35))/$A$10</f>
        <v>24.0475870770721</v>
      </c>
      <c r="AQ35" s="34" t="n">
        <f aca="false">180 - AP35 -0.1468*(1-0.0549*SIN(Q35))*SIN($A$10*AP35)/(1-0.0167*SIN($A$10*AO35))</f>
        <v>155.89491609174</v>
      </c>
      <c r="AR35" s="64" t="n">
        <f aca="false">SIN($A$10*AI35)</f>
        <v>0.226823075393397</v>
      </c>
      <c r="AS35" s="64" t="n">
        <f aca="false">COS($A$10*AI35)*SIN($A$10*$B$5) - TAN($A$10*AG35)*COS($A$10*$B$5)</f>
        <v>-0.594358952500923</v>
      </c>
      <c r="AT35" s="24" t="n">
        <f aca="false">IF(OR(AND(AR35*AS35&gt;0), AND(AR35&lt;0,AS35&gt;0)), MOD(ATAN2(AS35,AR35)/$A$10+360,360),  ATAN2(AS35,AR35)/$A$10)</f>
        <v>159.111824620042</v>
      </c>
      <c r="AU35" s="39" t="n">
        <f aca="false"> 385000.56 + (-20905355*COS(P35) - 3699111*COS(2*R35-P35) - 2955968*COS(2*R35) - 569925*COS(2*P35) + (1-0.002516*L35)*48888*COS(Q35) - 3149*COS(2*S35)  +246158*COS(2*R35-2*P35) -(1 - 0.002516*L35)*152138*COS(2*R35-Q35-P35) -170733*COS(2*R35+P35) -(1 - 0.002516*L35)*204586*COS(2*R35-Q35) -(1 - 0.002516*L35)*129620*COS(Q35-P35)  + 108743*COS(R35) +(1-0.002516*L35)*104755*COS(Q35+P35) +10321*COS(2*R35-2*S35) +79661*COS(P35-2*S35) -34782*COS(4*R35-P35) -23210*COS(3*P35)  -21636*COS(4*R35-2*P35) +(1 - 0.002516*L35)*24208*COS(2*R35+Q35-P35) +(1 - 0.002516*L35)*30824*COS(2*R35+Q35) -8379*COS(R35-P35) -(1 - 0.002516*L35)*16675*COS(R35+Q35)  -(1 - 0.002516*L35)*12831*COS(2*R35-Q35+P35) -10445*COS(2*R35+2*P35) -11650*COS(4*R35) +14403*COS(2*R35-3*P35) -(1-0.002516*L35)*7003*COS(Q35-2*P35)  + (1 - 0.002516*L35)*10056*COS(2*R35-Q35-2*P35) +6322*COS(R35+P35) -(1 - 0.002516*L35)*(1-0.002516*L35)*9884*COS(2*R35-2*Q35) +(1-0.002516*L35)*5751*COS(Q35+2*P35) - (1-0.002516*L35)^2*4950*COS(2*R35-2*Q35-P35)  +4130*COS(2*R35+P35-2*S35) -(1-0.002516*L35)*3958*COS(4*R35-Q35-P35) +3258*COS(3*R35-P35) +(1 - 0.002516*L35)*2616*COS(2*R35+Q35+P35) -(1 - 0.002516*L35)*1897*COS(4*R35-Q35-2*P35)  -(1-0.002516*L35)^2*2117*COS(2*Q35-P35) +(1-0.002516*L35)^2*2354*COS(2*R35+2*Q35-P35) -1423*COS(4*R35+P35) -1117*COS(4*P35) -(1-0.002516*L35)*1571*COS(4*R35-Q35)  -1739*COS(R35-2*P35) -4421*COS(2*P35-2*S35) +(1-0.002516*L35)^2*1165*COS(2*Q35+P35) +8752*COS(2*R35-P35-2*S35))/1000</f>
        <v>372433.640172521</v>
      </c>
      <c r="AV35" s="54" t="n">
        <f aca="false">ATAN(0.99664719*TAN($A$10*input!$E$2))</f>
        <v>0.871010436227447</v>
      </c>
      <c r="AW35" s="54" t="n">
        <f aca="false">COS(AV35)</f>
        <v>0.644053912545845</v>
      </c>
      <c r="AX35" s="54" t="n">
        <f aca="false">0.99664719*SIN(AV35)</f>
        <v>0.762415269897027</v>
      </c>
      <c r="AY35" s="54" t="n">
        <f aca="false">6378.14/AU35</f>
        <v>0.0171255743628462</v>
      </c>
      <c r="AZ35" s="55" t="n">
        <f aca="false">M35-15*AH35</f>
        <v>-193.110104747245</v>
      </c>
      <c r="BA35" s="56" t="n">
        <f aca="false">COS($A$10*AG35)*SIN($A$10*AZ35)</f>
        <v>0.220757039655151</v>
      </c>
      <c r="BB35" s="56" t="n">
        <f aca="false">COS($A$10*AG35)*COS($A$10*AZ35)-AW35*AY35</f>
        <v>-0.958919346780648</v>
      </c>
      <c r="BC35" s="56" t="n">
        <f aca="false">SIN($A$10*AG35)-AX35*AY35</f>
        <v>-0.24277776841275</v>
      </c>
      <c r="BD35" s="57" t="n">
        <f aca="false">SQRT(BA35^2+BB35^2+BC35^2)</f>
        <v>1.0135092643992</v>
      </c>
      <c r="BE35" s="58" t="n">
        <f aca="false">AU35*BD35</f>
        <v>377464.944688768</v>
      </c>
    </row>
    <row r="36" customFormat="false" ht="15" hidden="false" customHeight="false" outlineLevel="0" collapsed="false">
      <c r="A36" s="22"/>
      <c r="D36" s="41" t="n">
        <f aca="false">K36-INT(275*E36/9)+IF($A$8="common year",2,1)*INT((E36+9)/12)+30</f>
        <v>4</v>
      </c>
      <c r="E36" s="41" t="n">
        <f aca="false">IF(K36&lt;32,1,INT(9*(IF($A$8="common year",2,1)+K36)/275+0.98))</f>
        <v>2</v>
      </c>
      <c r="F36" s="42" t="n">
        <f aca="false">AM36</f>
        <v>-43.4573440029904</v>
      </c>
      <c r="G36" s="60" t="n">
        <f aca="false">F36+1.02/(TAN($A$10*(F36+10.3/(F36+5.11)))*60)</f>
        <v>-43.4751173689694</v>
      </c>
      <c r="H36" s="43" t="n">
        <f aca="false">100*(1+COS($A$10*AQ36))/2</f>
        <v>9.94445212982122</v>
      </c>
      <c r="I36" s="43" t="n">
        <f aca="false">IF(AI36&gt;180,AT36-180,AT36+180)</f>
        <v>325.285963301752</v>
      </c>
      <c r="J36" s="61" t="n">
        <f aca="false">$J$2+K35</f>
        <v>2459614.5</v>
      </c>
      <c r="K36" s="21" t="n">
        <v>35</v>
      </c>
      <c r="L36" s="62" t="n">
        <f aca="false">(J36-2451545)/36525</f>
        <v>0.220930869267625</v>
      </c>
      <c r="M36" s="63" t="n">
        <f aca="false">MOD(280.46061837+360.98564736629*(J36-2451545)+0.000387933*L36^2-L36^3/38710000+$B$7,360)</f>
        <v>149.14205958182</v>
      </c>
      <c r="N36" s="30" t="n">
        <f aca="false">0.606433+1336.855225*L36 - INT(0.606433+1336.855225*L36)</f>
        <v>0.959019944216266</v>
      </c>
      <c r="O36" s="35" t="n">
        <f aca="false">22640*SIN(P36)-4586*SIN(P36-2*R36)+2370*SIN(2*R36)+769*SIN(2*P36)-668*SIN(Q36)-412*SIN(2*S36)-212*SIN(2*P36-2*R36)-206*SIN(P36+Q36-2*R36)+192*SIN(P36+2*R36)-165*SIN(Q36-2*R36)-125*SIN(R36)-110*SIN(P36+Q36)+148*SIN(P36-Q36)-55*SIN(2*S36-2*R36)</f>
        <v>22778.0637517461</v>
      </c>
      <c r="P36" s="32" t="n">
        <f aca="false">2*PI()*(0.374897+1325.55241*L36 - INT(0.374897+1325.55241*L36))</f>
        <v>1.44728901672969</v>
      </c>
      <c r="Q36" s="36" t="n">
        <f aca="false">2*PI()*(0.993133+99.997361*L36 - INT(0.993133+99.997361*L36))</f>
        <v>0.538072450247727</v>
      </c>
      <c r="R36" s="36" t="n">
        <f aca="false">2*PI()*(0.827361+1236.853086*L36 - INT(0.827361+1236.853086*L36))</f>
        <v>0.542794616655939</v>
      </c>
      <c r="S36" s="36" t="n">
        <f aca="false">2*PI()*(0.259086+1342.227825*L36 - INT(0.259086+1342.227825*L36))</f>
        <v>5.01804164500503</v>
      </c>
      <c r="T36" s="36" t="n">
        <f aca="false">S36+(O36+412*SIN(2*S36)+541*SIN(Q36))/206264.8062</f>
        <v>5.12867057298144</v>
      </c>
      <c r="U36" s="36" t="n">
        <f aca="false">S36-2*R36</f>
        <v>3.93245241169315</v>
      </c>
      <c r="V36" s="34" t="n">
        <f aca="false">-526*SIN(U36)+44*SIN(P36+U36)-31*SIN(-P36+U36)-23*SIN(Q36+U36)+11*SIN(-Q36+U36)-25*SIN(-2*P36+S36)+21*SIN(-P36+S36)</f>
        <v>310.047528311234</v>
      </c>
      <c r="W36" s="36" t="n">
        <f aca="false">2*PI()*(N36+O36/1296000-INT(N36+O36/1296000))</f>
        <v>6.13613119215215</v>
      </c>
      <c r="X36" s="35" t="n">
        <f aca="false">W36*180/PI()</f>
        <v>351.574419848896</v>
      </c>
      <c r="Y36" s="36" t="n">
        <f aca="false">(18520*SIN(T36)+V36)/206264.8062</f>
        <v>-0.0806163851537336</v>
      </c>
      <c r="Z36" s="36" t="n">
        <f aca="false">Y36*180/PI()</f>
        <v>-4.61897862891004</v>
      </c>
      <c r="AA36" s="36" t="n">
        <f aca="false">COS(Y36)*COS(W36)</f>
        <v>0.985994325997459</v>
      </c>
      <c r="AB36" s="36" t="n">
        <f aca="false">COS(Y36)*SIN(W36)</f>
        <v>-0.146048808137425</v>
      </c>
      <c r="AC36" s="36" t="n">
        <f aca="false">SIN(Y36)</f>
        <v>-0.0805290925222275</v>
      </c>
      <c r="AD36" s="36" t="n">
        <f aca="false">COS($A$10*(23.4393-46.815*L36/3600))*AB36-SIN($A$10*(23.4393-46.815*L36/3600))*AC36</f>
        <v>-0.101971125564754</v>
      </c>
      <c r="AE36" s="36" t="n">
        <f aca="false">SIN($A$10*(23.4393-46.815*L36/3600))*AB36+COS($A$10*(23.4393-46.815*L36/3600))*AC36</f>
        <v>-0.131973780168157</v>
      </c>
      <c r="AF36" s="36" t="n">
        <f aca="false">SQRT(1-AE36*AE36)</f>
        <v>0.991253207484408</v>
      </c>
      <c r="AG36" s="35" t="n">
        <f aca="false">ATAN(AE36/AF36)/$A$10</f>
        <v>-7.58366444338218</v>
      </c>
      <c r="AH36" s="36" t="n">
        <f aca="false">IF(24*ATAN(AD36/(AA36+AF36))/PI()&gt;0,24*ATAN(AD36/(AA36+AF36))/PI(),24*ATAN(AD36/(AA36+AF36))/PI()+24)</f>
        <v>23.6063656840745</v>
      </c>
      <c r="AI36" s="63" t="n">
        <f aca="false">IF(M36-15*AH36&gt;0,M36-15*AH36,360+M36-15*AH36)</f>
        <v>155.046574320702</v>
      </c>
      <c r="AJ36" s="32" t="n">
        <f aca="false">0.950724+0.051818*COS(P36)+0.009531*COS(2*R36-P36)+0.007843*COS(2*R36)+0.002824*COS(2*P36)+0.000857*COS(2*R36+P36)+0.000533*COS(2*R36-Q36)*(1-0.002495*(J36-2415020)/36525)+0.000401*COS(2*R36-Q36-P36)*(1-0.002495*(J36-2415020)/36525)+0.00032*COS(P36-Q36)*(1-0.002495*(J36-2415020)/36525)-0.000271*COS(R36)</f>
        <v>0.966904740071335</v>
      </c>
      <c r="AK36" s="36" t="n">
        <f aca="false">ASIN(COS($A$10*$B$5)*COS($A$10*AG36)*COS($A$10*AI36)+SIN($A$10*$B$5)*SIN($A$10*AG36))/$A$10</f>
        <v>-42.748719499741</v>
      </c>
      <c r="AL36" s="32" t="n">
        <f aca="false">ASIN((0.9983271+0.0016764*COS($A$10*2*$B$5))*COS($A$10*AK36)*SIN($A$10*AJ36))/$A$10</f>
        <v>0.708624503249425</v>
      </c>
      <c r="AM36" s="32" t="n">
        <f aca="false">AK36-AL36</f>
        <v>-43.4573440029904</v>
      </c>
      <c r="AN36" s="35" t="n">
        <f aca="false"> MOD(280.4664567 + 360007.6982779*L36/10 + 0.03032028*L36^2/100 + L36^3/49931000,360)</f>
        <v>314.14784385701</v>
      </c>
      <c r="AO36" s="32" t="n">
        <f aca="false"> AN36 + (1.9146 - 0.004817*L36 - 0.000014*L36^2)*SIN(Q36)+ (0.019993 - 0.000101*L36)*SIN(2*Q36)+ 0.00029*SIN(3*Q36)</f>
        <v>315.146362302981</v>
      </c>
      <c r="AP36" s="32" t="n">
        <f aca="false">ACOS(COS(W36-$A$10*AO36)*COS(Y36))/$A$10</f>
        <v>36.679447797382</v>
      </c>
      <c r="AQ36" s="34" t="n">
        <f aca="false">180 - AP36 -0.1468*(1-0.0549*SIN(Q36))*SIN($A$10*AP36)/(1-0.0167*SIN($A$10*AO36))</f>
        <v>143.236322312306</v>
      </c>
      <c r="AR36" s="64" t="n">
        <f aca="false">SIN($A$10*AI36)</f>
        <v>0.421881407033178</v>
      </c>
      <c r="AS36" s="64" t="n">
        <f aca="false">COS($A$10*AI36)*SIN($A$10*$B$5) - TAN($A$10*AG36)*COS($A$10*$B$5)</f>
        <v>-0.60895532018494</v>
      </c>
      <c r="AT36" s="24" t="n">
        <f aca="false">IF(OR(AND(AR36*AS36&gt;0), AND(AR36&lt;0,AS36&gt;0)), MOD(ATAN2(AS36,AR36)/$A$10+360,360),  ATAN2(AS36,AR36)/$A$10)</f>
        <v>145.285963301752</v>
      </c>
      <c r="AU36" s="39" t="n">
        <f aca="false"> 385000.56 + (-20905355*COS(P36) - 3699111*COS(2*R36-P36) - 2955968*COS(2*R36) - 569925*COS(2*P36) + (1-0.002516*L36)*48888*COS(Q36) - 3149*COS(2*S36)  +246158*COS(2*R36-2*P36) -(1 - 0.002516*L36)*152138*COS(2*R36-Q36-P36) -170733*COS(2*R36+P36) -(1 - 0.002516*L36)*204586*COS(2*R36-Q36) -(1 - 0.002516*L36)*129620*COS(Q36-P36)  + 108743*COS(R36) +(1-0.002516*L36)*104755*COS(Q36+P36) +10321*COS(2*R36-2*S36) +79661*COS(P36-2*S36) -34782*COS(4*R36-P36) -23210*COS(3*P36)  -21636*COS(4*R36-2*P36) +(1 - 0.002516*L36)*24208*COS(2*R36+Q36-P36) +(1 - 0.002516*L36)*30824*COS(2*R36+Q36) -8379*COS(R36-P36) -(1 - 0.002516*L36)*16675*COS(R36+Q36)  -(1 - 0.002516*L36)*12831*COS(2*R36-Q36+P36) -10445*COS(2*R36+2*P36) -11650*COS(4*R36) +14403*COS(2*R36-3*P36) -(1-0.002516*L36)*7003*COS(Q36-2*P36)  + (1 - 0.002516*L36)*10056*COS(2*R36-Q36-2*P36) +6322*COS(R36+P36) -(1 - 0.002516*L36)*(1-0.002516*L36)*9884*COS(2*R36-2*Q36) +(1-0.002516*L36)*5751*COS(Q36+2*P36) - (1-0.002516*L36)^2*4950*COS(2*R36-2*Q36-P36)  +4130*COS(2*R36+P36-2*S36) -(1-0.002516*L36)*3958*COS(4*R36-Q36-P36) +3258*COS(3*R36-P36) +(1 - 0.002516*L36)*2616*COS(2*R36+Q36+P36) -(1 - 0.002516*L36)*1897*COS(4*R36-Q36-2*P36)  -(1-0.002516*L36)^2*2117*COS(2*Q36-P36) +(1-0.002516*L36)^2*2354*COS(2*R36+2*Q36-P36) -1423*COS(4*R36+P36) -1117*COS(4*P36) -(1-0.002516*L36)*1571*COS(4*R36-Q36)  -1739*COS(R36-2*P36) -4421*COS(2*P36-2*S36) +(1-0.002516*L36)^2*1165*COS(2*Q36+P36) +8752*COS(2*R36-P36-2*S36))/1000</f>
        <v>377854.858649853</v>
      </c>
      <c r="AV36" s="54" t="n">
        <f aca="false">ATAN(0.99664719*TAN($A$10*input!$E$2))</f>
        <v>0.871010436227447</v>
      </c>
      <c r="AW36" s="54" t="n">
        <f aca="false">COS(AV36)</f>
        <v>0.644053912545845</v>
      </c>
      <c r="AX36" s="54" t="n">
        <f aca="false">0.99664719*SIN(AV36)</f>
        <v>0.762415269897027</v>
      </c>
      <c r="AY36" s="54" t="n">
        <f aca="false">6378.14/AU36</f>
        <v>0.0168798676369818</v>
      </c>
      <c r="AZ36" s="55" t="n">
        <f aca="false">M36-15*AH36</f>
        <v>-204.953425679298</v>
      </c>
      <c r="BA36" s="56" t="n">
        <f aca="false">COS($A$10*AG36)*SIN($A$10*AZ36)</f>
        <v>0.418191297899674</v>
      </c>
      <c r="BB36" s="56" t="n">
        <f aca="false">COS($A$10*AG36)*COS($A$10*AZ36)-AW36*AY36</f>
        <v>-0.909592279900656</v>
      </c>
      <c r="BC36" s="56" t="n">
        <f aca="false">SIN($A$10*AG36)-AX36*AY36</f>
        <v>-0.144843249008433</v>
      </c>
      <c r="BD36" s="57" t="n">
        <f aca="false">SQRT(BA36^2+BB36^2+BC36^2)</f>
        <v>1.01154418790145</v>
      </c>
      <c r="BE36" s="58" t="n">
        <f aca="false">AU36*BD36</f>
        <v>382216.886137584</v>
      </c>
    </row>
    <row r="37" customFormat="false" ht="15" hidden="false" customHeight="false" outlineLevel="0" collapsed="false">
      <c r="A37" s="22"/>
      <c r="D37" s="41" t="n">
        <f aca="false">K37-INT(275*E37/9)+IF($A$8="common year",2,1)*INT((E37+9)/12)+30</f>
        <v>5</v>
      </c>
      <c r="E37" s="41" t="n">
        <f aca="false">IF(K37&lt;32,1,INT(9*(IF($A$8="common year",2,1)+K37)/275+0.98))</f>
        <v>2</v>
      </c>
      <c r="F37" s="42" t="n">
        <f aca="false">AM37</f>
        <v>-33.6330120596918</v>
      </c>
      <c r="G37" s="60" t="n">
        <f aca="false">F37+1.02/(TAN($A$10*(F37+10.3/(F37+5.11)))*60)</f>
        <v>-33.6582211725242</v>
      </c>
      <c r="H37" s="43" t="n">
        <f aca="false">100*(1+COS($A$10*AQ37))/2</f>
        <v>17.2485849890545</v>
      </c>
      <c r="I37" s="43" t="n">
        <f aca="false">IF(AI37&gt;180,AT37-180,AT37+180)</f>
        <v>315.544331063737</v>
      </c>
      <c r="J37" s="61" t="n">
        <f aca="false">$J$2+K36</f>
        <v>2459615.5</v>
      </c>
      <c r="K37" s="21" t="n">
        <v>36</v>
      </c>
      <c r="L37" s="62" t="n">
        <f aca="false">(J37-2451545)/36525</f>
        <v>0.220958247775496</v>
      </c>
      <c r="M37" s="63" t="n">
        <f aca="false">MOD(280.46061837+360.98564736629*(J37-2451545)+0.000387933*L37^2-L37^3/38710000+$B$7,360)</f>
        <v>150.127706952859</v>
      </c>
      <c r="N37" s="30" t="n">
        <f aca="false">0.606433+1336.855225*L37 - INT(0.606433+1336.855225*L37)</f>
        <v>0.995621045516771</v>
      </c>
      <c r="O37" s="35" t="n">
        <f aca="false">22640*SIN(P37)-4586*SIN(P37-2*R37)+2370*SIN(2*R37)+769*SIN(2*P37)-668*SIN(Q37)-412*SIN(2*S37)-212*SIN(2*P37-2*R37)-206*SIN(P37+Q37-2*R37)+192*SIN(P37+2*R37)-165*SIN(Q37-2*R37)-125*SIN(R37)-110*SIN(P37+Q37)+148*SIN(P37-Q37)-55*SIN(2*S37-2*R37)</f>
        <v>23706.2019432168</v>
      </c>
      <c r="P37" s="32" t="n">
        <f aca="false">2*PI()*(0.374897+1325.55241*L37 - INT(0.374897+1325.55241*L37))</f>
        <v>1.6753161605055</v>
      </c>
      <c r="Q37" s="36" t="n">
        <f aca="false">2*PI()*(0.993133+99.997361*L37 - INT(0.993133+99.997361*L37))</f>
        <v>0.555274420114734</v>
      </c>
      <c r="R37" s="36" t="n">
        <f aca="false">2*PI()*(0.827361+1236.853086*L37 - INT(0.827361+1236.853086*L37))</f>
        <v>0.755563326774963</v>
      </c>
      <c r="S37" s="36" t="n">
        <f aca="false">2*PI()*(0.259086+1342.227825*L37 - INT(0.259086+1342.227825*L37))</f>
        <v>5.24893736434604</v>
      </c>
      <c r="T37" s="36" t="n">
        <f aca="false">S37+(O37+412*SIN(2*S37)+541*SIN(Q37))/206264.8062</f>
        <v>5.36349586524279</v>
      </c>
      <c r="U37" s="36" t="n">
        <f aca="false">S37-2*R37</f>
        <v>3.73781071079611</v>
      </c>
      <c r="V37" s="34" t="n">
        <f aca="false">-526*SIN(U37)+44*SIN(P37+U37)-31*SIN(-P37+U37)-23*SIN(Q37+U37)+11*SIN(-Q37+U37)-25*SIN(-2*P37+S37)+21*SIN(-P37+S37)</f>
        <v>222.491502525257</v>
      </c>
      <c r="W37" s="36" t="n">
        <f aca="false">2*PI()*(N37+O37/1296000-INT(N37+O37/1296000))</f>
        <v>0.0874171278223355</v>
      </c>
      <c r="X37" s="35" t="n">
        <f aca="false">W37*180/PI()</f>
        <v>5.00863248137547</v>
      </c>
      <c r="Y37" s="36" t="n">
        <f aca="false">(18520*SIN(T37)+V37)/206264.8062</f>
        <v>-0.0703395099790089</v>
      </c>
      <c r="Z37" s="36" t="n">
        <f aca="false">Y37*180/PI()</f>
        <v>-4.03015705481555</v>
      </c>
      <c r="AA37" s="36" t="n">
        <f aca="false">COS(Y37)*COS(W37)</f>
        <v>0.993718194175519</v>
      </c>
      <c r="AB37" s="36" t="n">
        <f aca="false">COS(Y37)*SIN(W37)</f>
        <v>0.0870899434798984</v>
      </c>
      <c r="AC37" s="36" t="n">
        <f aca="false">SIN(Y37)</f>
        <v>-0.0702815218191307</v>
      </c>
      <c r="AD37" s="36" t="n">
        <f aca="false">COS($A$10*(23.4393-46.815*L37/3600))*AB37-SIN($A$10*(23.4393-46.815*L37/3600))*AC37</f>
        <v>0.107858352832365</v>
      </c>
      <c r="AE37" s="36" t="n">
        <f aca="false">SIN($A$10*(23.4393-46.815*L37/3600))*AB37+COS($A$10*(23.4393-46.815*L37/3600))*AC37</f>
        <v>-0.0298450379264939</v>
      </c>
      <c r="AF37" s="36" t="n">
        <f aca="false">SQRT(1-AE37*AE37)</f>
        <v>0.999554537637225</v>
      </c>
      <c r="AG37" s="35" t="n">
        <f aca="false">ATAN(AE37/AF37)/$A$10</f>
        <v>-1.71024867060972</v>
      </c>
      <c r="AH37" s="36" t="n">
        <f aca="false">IF(24*ATAN(AD37/(AA37+AF37))/PI()&gt;0,24*ATAN(AD37/(AA37+AF37))/PI(),24*ATAN(AD37/(AA37+AF37))/PI()+24)</f>
        <v>0.412976262498666</v>
      </c>
      <c r="AI37" s="63" t="n">
        <f aca="false">IF(M37-15*AH37&gt;0,M37-15*AH37,360+M37-15*AH37)</f>
        <v>143.933063015379</v>
      </c>
      <c r="AJ37" s="32" t="n">
        <f aca="false">0.950724+0.051818*COS(P37)+0.009531*COS(2*R37-P37)+0.007843*COS(2*R37)+0.002824*COS(2*P37)+0.000857*COS(2*R37+P37)+0.000533*COS(2*R37-Q37)*(1-0.002495*(J37-2415020)/36525)+0.000401*COS(2*R37-Q37-P37)*(1-0.002495*(J37-2415020)/36525)+0.00032*COS(P37-Q37)*(1-0.002495*(J37-2415020)/36525)-0.000271*COS(R37)</f>
        <v>0.952118695640506</v>
      </c>
      <c r="AK37" s="36" t="n">
        <f aca="false">ASIN(COS($A$10*$B$5)*COS($A$10*AG37)*COS($A$10*AI37)+SIN($A$10*$B$5)*SIN($A$10*AG37))/$A$10</f>
        <v>-32.8345864957139</v>
      </c>
      <c r="AL37" s="32" t="n">
        <f aca="false">ASIN((0.9983271+0.0016764*COS($A$10*2*$B$5))*COS($A$10*AK37)*SIN($A$10*AJ37))/$A$10</f>
        <v>0.798425563977927</v>
      </c>
      <c r="AM37" s="32" t="n">
        <f aca="false">AK37-AL37</f>
        <v>-33.6330120596918</v>
      </c>
      <c r="AN37" s="35" t="n">
        <f aca="false"> MOD(280.4664567 + 360007.6982779*L37/10 + 0.03032028*L37^2/100 + L37^3/49931000,360)</f>
        <v>315.13349122078</v>
      </c>
      <c r="AO37" s="32" t="n">
        <f aca="false"> AN37 + (1.9146 - 0.004817*L37 - 0.000014*L37^2)*SIN(Q37)+ (0.019993 - 0.000101*L37)*SIN(2*Q37)+ 0.00029*SIN(3*Q37)</f>
        <v>316.160443180775</v>
      </c>
      <c r="AP37" s="32" t="n">
        <f aca="false">ACOS(COS(W37-$A$10*AO37)*COS(Y37))/$A$10</f>
        <v>48.9718948732218</v>
      </c>
      <c r="AQ37" s="34" t="n">
        <f aca="false">180 - AP37 -0.1468*(1-0.0549*SIN(Q37))*SIN($A$10*AP37)/(1-0.0167*SIN($A$10*AO37))</f>
        <v>130.921795862056</v>
      </c>
      <c r="AR37" s="64" t="n">
        <f aca="false">SIN($A$10*AI37)</f>
        <v>0.588730001865616</v>
      </c>
      <c r="AS37" s="64" t="n">
        <f aca="false">COS($A$10*AI37)*SIN($A$10*$B$5) - TAN($A$10*AG37)*COS($A$10*$B$5)</f>
        <v>-0.600023943117552</v>
      </c>
      <c r="AT37" s="24" t="n">
        <f aca="false">IF(OR(AND(AR37*AS37&gt;0), AND(AR37&lt;0,AS37&gt;0)), MOD(ATAN2(AS37,AR37)/$A$10+360,360),  ATAN2(AS37,AR37)/$A$10)</f>
        <v>135.544331063737</v>
      </c>
      <c r="AU37" s="39" t="n">
        <f aca="false"> 385000.56 + (-20905355*COS(P37) - 3699111*COS(2*R37-P37) - 2955968*COS(2*R37) - 569925*COS(2*P37) + (1-0.002516*L37)*48888*COS(Q37) - 3149*COS(2*S37)  +246158*COS(2*R37-2*P37) -(1 - 0.002516*L37)*152138*COS(2*R37-Q37-P37) -170733*COS(2*R37+P37) -(1 - 0.002516*L37)*204586*COS(2*R37-Q37) -(1 - 0.002516*L37)*129620*COS(Q37-P37)  + 108743*COS(R37) +(1-0.002516*L37)*104755*COS(Q37+P37) +10321*COS(2*R37-2*S37) +79661*COS(P37-2*S37) -34782*COS(4*R37-P37) -23210*COS(3*P37)  -21636*COS(4*R37-2*P37) +(1 - 0.002516*L37)*24208*COS(2*R37+Q37-P37) +(1 - 0.002516*L37)*30824*COS(2*R37+Q37) -8379*COS(R37-P37) -(1 - 0.002516*L37)*16675*COS(R37+Q37)  -(1 - 0.002516*L37)*12831*COS(2*R37-Q37+P37) -10445*COS(2*R37+2*P37) -11650*COS(4*R37) +14403*COS(2*R37-3*P37) -(1-0.002516*L37)*7003*COS(Q37-2*P37)  + (1 - 0.002516*L37)*10056*COS(2*R37-Q37-2*P37) +6322*COS(R37+P37) -(1 - 0.002516*L37)*(1-0.002516*L37)*9884*COS(2*R37-2*Q37) +(1-0.002516*L37)*5751*COS(Q37+2*P37) - (1-0.002516*L37)^2*4950*COS(2*R37-2*Q37-P37)  +4130*COS(2*R37+P37-2*S37) -(1-0.002516*L37)*3958*COS(4*R37-Q37-P37) +3258*COS(3*R37-P37) +(1 - 0.002516*L37)*2616*COS(2*R37+Q37+P37) -(1 - 0.002516*L37)*1897*COS(4*R37-Q37-2*P37)  -(1-0.002516*L37)^2*2117*COS(2*Q37-P37) +(1-0.002516*L37)^2*2354*COS(2*R37+2*Q37-P37) -1423*COS(4*R37+P37) -1117*COS(4*P37) -(1-0.002516*L37)*1571*COS(4*R37-Q37)  -1739*COS(R37-2*P37) -4421*COS(2*P37-2*S37) +(1-0.002516*L37)^2*1165*COS(2*Q37+P37) +8752*COS(2*R37-P37-2*S37))/1000</f>
        <v>383656.626626531</v>
      </c>
      <c r="AV37" s="54" t="n">
        <f aca="false">ATAN(0.99664719*TAN($A$10*input!$E$2))</f>
        <v>0.871010436227447</v>
      </c>
      <c r="AW37" s="54" t="n">
        <f aca="false">COS(AV37)</f>
        <v>0.644053912545845</v>
      </c>
      <c r="AX37" s="54" t="n">
        <f aca="false">0.99664719*SIN(AV37)</f>
        <v>0.762415269897027</v>
      </c>
      <c r="AY37" s="54" t="n">
        <f aca="false">6378.14/AU37</f>
        <v>0.016624605330247</v>
      </c>
      <c r="AZ37" s="55" t="n">
        <f aca="false">M37-15*AH37</f>
        <v>143.933063015379</v>
      </c>
      <c r="BA37" s="56" t="n">
        <f aca="false">COS($A$10*AG37)*SIN($A$10*AZ37)</f>
        <v>0.588467744807948</v>
      </c>
      <c r="BB37" s="56" t="n">
        <f aca="false">COS($A$10*AG37)*COS($A$10*AZ37)-AW37*AY37</f>
        <v>-0.818676811731166</v>
      </c>
      <c r="BC37" s="56" t="n">
        <f aca="false">SIN($A$10*AG37)-AX37*AY37</f>
        <v>-0.0425198908862857</v>
      </c>
      <c r="BD37" s="57" t="n">
        <f aca="false">SQRT(BA37^2+BB37^2+BC37^2)</f>
        <v>1.00912533902714</v>
      </c>
      <c r="BE37" s="58" t="n">
        <f aca="false">AU37*BD37</f>
        <v>387157.623414507</v>
      </c>
    </row>
    <row r="38" customFormat="false" ht="15" hidden="false" customHeight="false" outlineLevel="0" collapsed="false">
      <c r="A38" s="22"/>
      <c r="D38" s="41" t="n">
        <f aca="false">K38-INT(275*E38/9)+IF($A$8="common year",2,1)*INT((E38+9)/12)+30</f>
        <v>6</v>
      </c>
      <c r="E38" s="41" t="n">
        <f aca="false">IF(K38&lt;32,1,INT(9*(IF($A$8="common year",2,1)+K38)/275+0.98))</f>
        <v>2</v>
      </c>
      <c r="F38" s="42" t="n">
        <f aca="false">AM38</f>
        <v>-23.532154410422</v>
      </c>
      <c r="G38" s="60" t="n">
        <f aca="false">F38+1.02/(TAN($A$10*(F38+10.3/(F38+5.11)))*60)</f>
        <v>-23.5701739379045</v>
      </c>
      <c r="H38" s="43" t="n">
        <f aca="false">100*(1+COS($A$10*AQ38))/2</f>
        <v>25.7558057712353</v>
      </c>
      <c r="I38" s="43" t="n">
        <f aca="false">IF(AI38&gt;180,AT38-180,AT38+180)</f>
        <v>308.092398316821</v>
      </c>
      <c r="J38" s="61" t="n">
        <f aca="false">$J$2+K37</f>
        <v>2459616.5</v>
      </c>
      <c r="K38" s="21" t="n">
        <v>37</v>
      </c>
      <c r="L38" s="62" t="n">
        <f aca="false">(J38-2451545)/36525</f>
        <v>0.220985626283368</v>
      </c>
      <c r="M38" s="63" t="n">
        <f aca="false">MOD(280.46061837+360.98564736629*(J38-2451545)+0.000387933*L38^2-L38^3/38710000+$B$7,360)</f>
        <v>151.113354323898</v>
      </c>
      <c r="N38" s="30" t="n">
        <f aca="false">0.606433+1336.855225*L38 - INT(0.606433+1336.855225*L38)</f>
        <v>0.0322221468172756</v>
      </c>
      <c r="O38" s="35" t="n">
        <f aca="false">22640*SIN(P38)-4586*SIN(P38-2*R38)+2370*SIN(2*R38)+769*SIN(2*P38)-668*SIN(Q38)-412*SIN(2*S38)-212*SIN(2*P38-2*R38)-206*SIN(P38+Q38-2*R38)+192*SIN(P38+2*R38)-165*SIN(Q38-2*R38)-125*SIN(R38)-110*SIN(P38+Q38)+148*SIN(P38-Q38)-55*SIN(2*S38-2*R38)</f>
        <v>23021.8640879525</v>
      </c>
      <c r="P38" s="32" t="n">
        <f aca="false">2*PI()*(0.374897+1325.55241*L38 - INT(0.374897+1325.55241*L38))</f>
        <v>1.90334330428096</v>
      </c>
      <c r="Q38" s="36" t="n">
        <f aca="false">2*PI()*(0.993133+99.997361*L38 - INT(0.993133+99.997361*L38))</f>
        <v>0.572476389981719</v>
      </c>
      <c r="R38" s="36" t="n">
        <f aca="false">2*PI()*(0.827361+1236.853086*L38 - INT(0.827361+1236.853086*L38))</f>
        <v>0.968332036893987</v>
      </c>
      <c r="S38" s="36" t="n">
        <f aca="false">2*PI()*(0.259086+1342.227825*L38 - INT(0.259086+1342.227825*L38))</f>
        <v>5.47983308368704</v>
      </c>
      <c r="T38" s="36" t="n">
        <f aca="false">S38+(O38+412*SIN(2*S38)+541*SIN(Q38))/206264.8062</f>
        <v>5.59087091925305</v>
      </c>
      <c r="U38" s="36" t="n">
        <f aca="false">S38-2*R38</f>
        <v>3.54316900989907</v>
      </c>
      <c r="V38" s="34" t="n">
        <f aca="false">-526*SIN(U38)+44*SIN(P38+U38)-31*SIN(-P38+U38)-23*SIN(Q38+U38)+11*SIN(-Q38+U38)-25*SIN(-2*P38+S38)+21*SIN(-P38+S38)</f>
        <v>129.183767458767</v>
      </c>
      <c r="W38" s="36" t="n">
        <f aca="false">2*PI()*(N38+O38/1296000-INT(N38+O38/1296000))</f>
        <v>0.314070866192926</v>
      </c>
      <c r="X38" s="35" t="n">
        <f aca="false">W38*180/PI()</f>
        <v>17.9949351008727</v>
      </c>
      <c r="Y38" s="36" t="n">
        <f aca="false">(18520*SIN(T38)+V38)/206264.8062</f>
        <v>-0.0566868917955705</v>
      </c>
      <c r="Z38" s="36" t="n">
        <f aca="false">Y38*180/PI()</f>
        <v>-3.24791965360097</v>
      </c>
      <c r="AA38" s="36" t="n">
        <f aca="false">COS(Y38)*COS(W38)</f>
        <v>0.949556130433353</v>
      </c>
      <c r="AB38" s="36" t="n">
        <f aca="false">COS(Y38)*SIN(W38)</f>
        <v>0.308436690373215</v>
      </c>
      <c r="AC38" s="36" t="n">
        <f aca="false">SIN(Y38)</f>
        <v>-0.0566565370284339</v>
      </c>
      <c r="AD38" s="36" t="n">
        <f aca="false">COS($A$10*(23.4393-46.815*L38/3600))*AB38-SIN($A$10*(23.4393-46.815*L38/3600))*AC38</f>
        <v>0.305525341938438</v>
      </c>
      <c r="AE38" s="36" t="n">
        <f aca="false">SIN($A$10*(23.4393-46.815*L38/3600))*AB38+COS($A$10*(23.4393-46.815*L38/3600))*AC38</f>
        <v>0.0706924365815562</v>
      </c>
      <c r="AF38" s="36" t="n">
        <f aca="false">SQRT(1-AE38*AE38)</f>
        <v>0.997498160103648</v>
      </c>
      <c r="AG38" s="35" t="n">
        <f aca="false">ATAN(AE38/AF38)/$A$10</f>
        <v>4.05375944284147</v>
      </c>
      <c r="AH38" s="36" t="n">
        <f aca="false">IF(24*ATAN(AD38/(AA38+AF38))/PI()&gt;0,24*ATAN(AD38/(AA38+AF38))/PI(),24*ATAN(AD38/(AA38+AF38))/PI()+24)</f>
        <v>1.1890592411861</v>
      </c>
      <c r="AI38" s="63" t="n">
        <f aca="false">IF(M38-15*AH38&gt;0,M38-15*AH38,360+M38-15*AH38)</f>
        <v>133.277465706106</v>
      </c>
      <c r="AJ38" s="32" t="n">
        <f aca="false">0.950724+0.051818*COS(P38)+0.009531*COS(2*R38-P38)+0.007843*COS(2*R38)+0.002824*COS(2*P38)+0.000857*COS(2*R38+P38)+0.000533*COS(2*R38-Q38)*(1-0.002495*(J38-2415020)/36525)+0.000401*COS(2*R38-Q38-P38)*(1-0.002495*(J38-2415020)/36525)+0.00032*COS(P38-Q38)*(1-0.002495*(J38-2415020)/36525)-0.000271*COS(R38)</f>
        <v>0.938023618146969</v>
      </c>
      <c r="AK38" s="36" t="n">
        <f aca="false">ASIN(COS($A$10*$B$5)*COS($A$10*AG38)*COS($A$10*AI38)+SIN($A$10*$B$5)*SIN($A$10*AG38))/$A$10</f>
        <v>-22.6682975631639</v>
      </c>
      <c r="AL38" s="32" t="n">
        <f aca="false">ASIN((0.9983271+0.0016764*COS($A$10*2*$B$5))*COS($A$10*AK38)*SIN($A$10*AJ38))/$A$10</f>
        <v>0.863856847258032</v>
      </c>
      <c r="AM38" s="32" t="n">
        <f aca="false">AK38-AL38</f>
        <v>-23.532154410422</v>
      </c>
      <c r="AN38" s="35" t="n">
        <f aca="false"> MOD(280.4664567 + 360007.6982779*L38/10 + 0.03032028*L38^2/100 + L38^3/49931000,360)</f>
        <v>316.119138584554</v>
      </c>
      <c r="AO38" s="32" t="n">
        <f aca="false"> AN38 + (1.9146 - 0.004817*L38 - 0.000014*L38^2)*SIN(Q38)+ (0.019993 - 0.000101*L38)*SIN(2*Q38)+ 0.00029*SIN(3*Q38)</f>
        <v>317.174203614113</v>
      </c>
      <c r="AP38" s="32" t="n">
        <f aca="false">ACOS(COS(W38-$A$10*AO38)*COS(Y38))/$A$10</f>
        <v>60.8721102110057</v>
      </c>
      <c r="AQ38" s="34" t="n">
        <f aca="false">180 - AP38 -0.1468*(1-0.0549*SIN(Q38))*SIN($A$10*AP38)/(1-0.0167*SIN($A$10*AO38))</f>
        <v>119.004865123353</v>
      </c>
      <c r="AR38" s="64" t="n">
        <f aca="false">SIN($A$10*AI38)</f>
        <v>0.728042432091271</v>
      </c>
      <c r="AS38" s="64" t="n">
        <f aca="false">COS($A$10*AI38)*SIN($A$10*$B$5) - TAN($A$10*AG38)*COS($A$10*$B$5)</f>
        <v>-0.570702223355682</v>
      </c>
      <c r="AT38" s="24" t="n">
        <f aca="false">IF(OR(AND(AR38*AS38&gt;0), AND(AR38&lt;0,AS38&gt;0)), MOD(ATAN2(AS38,AR38)/$A$10+360,360),  ATAN2(AS38,AR38)/$A$10)</f>
        <v>128.092398316821</v>
      </c>
      <c r="AU38" s="39" t="n">
        <f aca="false"> 385000.56 + (-20905355*COS(P38) - 3699111*COS(2*R38-P38) - 2955968*COS(2*R38) - 569925*COS(2*P38) + (1-0.002516*L38)*48888*COS(Q38) - 3149*COS(2*S38)  +246158*COS(2*R38-2*P38) -(1 - 0.002516*L38)*152138*COS(2*R38-Q38-P38) -170733*COS(2*R38+P38) -(1 - 0.002516*L38)*204586*COS(2*R38-Q38) -(1 - 0.002516*L38)*129620*COS(Q38-P38)  + 108743*COS(R38) +(1-0.002516*L38)*104755*COS(Q38+P38) +10321*COS(2*R38-2*S38) +79661*COS(P38-2*S38) -34782*COS(4*R38-P38) -23210*COS(3*P38)  -21636*COS(4*R38-2*P38) +(1 - 0.002516*L38)*24208*COS(2*R38+Q38-P38) +(1 - 0.002516*L38)*30824*COS(2*R38+Q38) -8379*COS(R38-P38) -(1 - 0.002516*L38)*16675*COS(R38+Q38)  -(1 - 0.002516*L38)*12831*COS(2*R38-Q38+P38) -10445*COS(2*R38+2*P38) -11650*COS(4*R38) +14403*COS(2*R38-3*P38) -(1-0.002516*L38)*7003*COS(Q38-2*P38)  + (1 - 0.002516*L38)*10056*COS(2*R38-Q38-2*P38) +6322*COS(R38+P38) -(1 - 0.002516*L38)*(1-0.002516*L38)*9884*COS(2*R38-2*Q38) +(1-0.002516*L38)*5751*COS(Q38+2*P38) - (1-0.002516*L38)^2*4950*COS(2*R38-2*Q38-P38)  +4130*COS(2*R38+P38-2*S38) -(1-0.002516*L38)*3958*COS(4*R38-Q38-P38) +3258*COS(3*R38-P38) +(1 - 0.002516*L38)*2616*COS(2*R38+Q38+P38) -(1 - 0.002516*L38)*1897*COS(4*R38-Q38-2*P38)  -(1-0.002516*L38)^2*2117*COS(2*Q38-P38) +(1-0.002516*L38)^2*2354*COS(2*R38+2*Q38-P38) -1423*COS(4*R38+P38) -1117*COS(4*P38) -(1-0.002516*L38)*1571*COS(4*R38-Q38)  -1739*COS(R38-2*P38) -4421*COS(2*P38-2*S38) +(1-0.002516*L38)^2*1165*COS(2*Q38+P38) +8752*COS(2*R38-P38-2*S38))/1000</f>
        <v>389368.535430523</v>
      </c>
      <c r="AV38" s="54" t="n">
        <f aca="false">ATAN(0.99664719*TAN($A$10*input!$E$2))</f>
        <v>0.871010436227447</v>
      </c>
      <c r="AW38" s="54" t="n">
        <f aca="false">COS(AV38)</f>
        <v>0.644053912545845</v>
      </c>
      <c r="AX38" s="54" t="n">
        <f aca="false">0.99664719*SIN(AV38)</f>
        <v>0.762415269897027</v>
      </c>
      <c r="AY38" s="54" t="n">
        <f aca="false">6378.14/AU38</f>
        <v>0.0163807278185633</v>
      </c>
      <c r="AZ38" s="55" t="n">
        <f aca="false">M38-15*AH38</f>
        <v>133.277465706106</v>
      </c>
      <c r="BA38" s="56" t="n">
        <f aca="false">COS($A$10*AG38)*SIN($A$10*AZ38)</f>
        <v>0.726220986488428</v>
      </c>
      <c r="BB38" s="56" t="n">
        <f aca="false">COS($A$10*AG38)*COS($A$10*AZ38)-AW38*AY38</f>
        <v>-0.694367048959264</v>
      </c>
      <c r="BC38" s="56" t="n">
        <f aca="false">SIN($A$10*AG38)-AX38*AY38</f>
        <v>0.0582035195606565</v>
      </c>
      <c r="BD38" s="57" t="n">
        <f aca="false">SQRT(BA38^2+BB38^2+BC38^2)</f>
        <v>1.00644432016176</v>
      </c>
      <c r="BE38" s="58" t="n">
        <f aca="false">AU38*BD38</f>
        <v>391877.750933753</v>
      </c>
    </row>
    <row r="39" customFormat="false" ht="15" hidden="false" customHeight="false" outlineLevel="0" collapsed="false">
      <c r="A39" s="22"/>
      <c r="D39" s="41" t="n">
        <f aca="false">K39-INT(275*E39/9)+IF($A$8="common year",2,1)*INT((E39+9)/12)+30</f>
        <v>7</v>
      </c>
      <c r="E39" s="41" t="n">
        <f aca="false">IF(K39&lt;32,1,INT(9*(IF($A$8="common year",2,1)+K39)/275+0.98))</f>
        <v>2</v>
      </c>
      <c r="F39" s="42" t="n">
        <f aca="false">AM39</f>
        <v>-13.4507772283808</v>
      </c>
      <c r="G39" s="60" t="n">
        <f aca="false">F39+1.02/(TAN($A$10*(F39+10.3/(F39+5.11)))*60)</f>
        <v>-13.5156434468278</v>
      </c>
      <c r="H39" s="43" t="n">
        <f aca="false">100*(1+COS($A$10*AQ39))/2</f>
        <v>34.9939803175078</v>
      </c>
      <c r="I39" s="43" t="n">
        <f aca="false">IF(AI39&gt;180,AT39-180,AT39+180)</f>
        <v>301.873520854573</v>
      </c>
      <c r="J39" s="61" t="n">
        <f aca="false">$J$2+K38</f>
        <v>2459617.5</v>
      </c>
      <c r="K39" s="21" t="n">
        <v>38</v>
      </c>
      <c r="L39" s="62" t="n">
        <f aca="false">(J39-2451545)/36525</f>
        <v>0.221013004791239</v>
      </c>
      <c r="M39" s="63" t="n">
        <f aca="false">MOD(280.46061837+360.98564736629*(J39-2451545)+0.000387933*L39^2-L39^3/38710000+$B$7,360)</f>
        <v>152.099001694936</v>
      </c>
      <c r="N39" s="30" t="n">
        <f aca="false">0.606433+1336.855225*L39 - INT(0.606433+1336.855225*L39)</f>
        <v>0.0688232481177238</v>
      </c>
      <c r="O39" s="35" t="n">
        <f aca="false">22640*SIN(P39)-4586*SIN(P39-2*R39)+2370*SIN(2*R39)+769*SIN(2*P39)-668*SIN(Q39)-412*SIN(2*S39)-212*SIN(2*P39-2*R39)-206*SIN(P39+Q39-2*R39)+192*SIN(P39+2*R39)-165*SIN(Q39-2*R39)-125*SIN(R39)-110*SIN(P39+Q39)+148*SIN(P39-Q39)-55*SIN(2*S39-2*R39)</f>
        <v>20870.1247722908</v>
      </c>
      <c r="P39" s="32" t="n">
        <f aca="false">2*PI()*(0.374897+1325.55241*L39 - INT(0.374897+1325.55241*L39))</f>
        <v>2.13137044805678</v>
      </c>
      <c r="Q39" s="36" t="n">
        <f aca="false">2*PI()*(0.993133+99.997361*L39 - INT(0.993133+99.997361*L39))</f>
        <v>0.589678359848704</v>
      </c>
      <c r="R39" s="36" t="n">
        <f aca="false">2*PI()*(0.827361+1236.853086*L39 - INT(0.827361+1236.853086*L39))</f>
        <v>1.18110074701265</v>
      </c>
      <c r="S39" s="36" t="n">
        <f aca="false">2*PI()*(0.259086+1342.227825*L39 - INT(0.259086+1342.227825*L39))</f>
        <v>5.71072880302769</v>
      </c>
      <c r="T39" s="36" t="n">
        <f aca="false">S39+(O39+412*SIN(2*S39)+541*SIN(Q39))/206264.8062</f>
        <v>5.81154955915506</v>
      </c>
      <c r="U39" s="36" t="n">
        <f aca="false">S39-2*R39</f>
        <v>3.34852730900238</v>
      </c>
      <c r="V39" s="34" t="n">
        <f aca="false">-526*SIN(U39)+44*SIN(P39+U39)-31*SIN(-P39+U39)-23*SIN(Q39+U39)+11*SIN(-Q39+U39)-25*SIN(-2*P39+S39)+21*SIN(-P39+S39)</f>
        <v>34.1654848450847</v>
      </c>
      <c r="W39" s="36" t="n">
        <f aca="false">2*PI()*(N39+O39/1296000-INT(N39+O39/1296000))</f>
        <v>0.533610441526354</v>
      </c>
      <c r="X39" s="35" t="n">
        <f aca="false">W39*180/PI()</f>
        <v>30.5736262035725</v>
      </c>
      <c r="Y39" s="36" t="n">
        <f aca="false">(18520*SIN(T39)+V39)/206264.8062</f>
        <v>-0.0406287754999571</v>
      </c>
      <c r="Z39" s="36" t="n">
        <f aca="false">Y39*180/PI()</f>
        <v>-2.32785736293207</v>
      </c>
      <c r="AA39" s="36" t="n">
        <f aca="false">COS(Y39)*COS(W39)</f>
        <v>0.860265744562919</v>
      </c>
      <c r="AB39" s="36" t="n">
        <f aca="false">COS(Y39)*SIN(W39)</f>
        <v>0.508225402159712</v>
      </c>
      <c r="AC39" s="36" t="n">
        <f aca="false">SIN(Y39)</f>
        <v>-0.0406175987867944</v>
      </c>
      <c r="AD39" s="36" t="n">
        <f aca="false">COS($A$10*(23.4393-46.815*L39/3600))*AB39-SIN($A$10*(23.4393-46.815*L39/3600))*AC39</f>
        <v>0.482452688205194</v>
      </c>
      <c r="AE39" s="36" t="n">
        <f aca="false">SIN($A$10*(23.4393-46.815*L39/3600))*AB39+COS($A$10*(23.4393-46.815*L39/3600))*AC39</f>
        <v>0.164870410854066</v>
      </c>
      <c r="AF39" s="36" t="n">
        <f aca="false">SQRT(1-AE39*AE39)</f>
        <v>0.986315237449372</v>
      </c>
      <c r="AG39" s="35" t="n">
        <f aca="false">ATAN(AE39/AF39)/$A$10</f>
        <v>9.48970645677353</v>
      </c>
      <c r="AH39" s="36" t="n">
        <f aca="false">IF(24*ATAN(AD39/(AA39+AF39))/PI()&gt;0,24*ATAN(AD39/(AA39+AF39))/PI(),24*ATAN(AD39/(AA39+AF39))/PI()+24)</f>
        <v>1.95230011425496</v>
      </c>
      <c r="AI39" s="63" t="n">
        <f aca="false">IF(M39-15*AH39&gt;0,M39-15*AH39,360+M39-15*AH39)</f>
        <v>122.814499981112</v>
      </c>
      <c r="AJ39" s="32" t="n">
        <f aca="false">0.950724+0.051818*COS(P39)+0.009531*COS(2*R39-P39)+0.007843*COS(2*R39)+0.002824*COS(2*P39)+0.000857*COS(2*R39+P39)+0.000533*COS(2*R39-Q39)*(1-0.002495*(J39-2415020)/36525)+0.000401*COS(2*R39-Q39-P39)*(1-0.002495*(J39-2415020)/36525)+0.00032*COS(P39-Q39)*(1-0.002495*(J39-2415020)/36525)-0.000271*COS(R39)</f>
        <v>0.925633639827978</v>
      </c>
      <c r="AK39" s="36" t="n">
        <f aca="false">ASIN(COS($A$10*$B$5)*COS($A$10*AG39)*COS($A$10*AI39)+SIN($A$10*$B$5)*SIN($A$10*AG39))/$A$10</f>
        <v>-12.5490331012848</v>
      </c>
      <c r="AL39" s="32" t="n">
        <f aca="false">ASIN((0.9983271+0.0016764*COS($A$10*2*$B$5))*COS($A$10*AK39)*SIN($A$10*AJ39))/$A$10</f>
        <v>0.901744127095977</v>
      </c>
      <c r="AM39" s="32" t="n">
        <f aca="false">AK39-AL39</f>
        <v>-13.4507772283808</v>
      </c>
      <c r="AN39" s="35" t="n">
        <f aca="false"> MOD(280.4664567 + 360007.6982779*L39/10 + 0.03032028*L39^2/100 + L39^3/49931000,360)</f>
        <v>317.104785948326</v>
      </c>
      <c r="AO39" s="32" t="n">
        <f aca="false"> AN39 + (1.9146 - 0.004817*L39 - 0.000014*L39^2)*SIN(Q39)+ (0.019993 - 0.000101*L39)*SIN(2*Q39)+ 0.00029*SIN(3*Q39)</f>
        <v>318.187635027209</v>
      </c>
      <c r="AP39" s="32" t="n">
        <f aca="false">ACOS(COS(W39-$A$10*AO39)*COS(Y39))/$A$10</f>
        <v>72.4010021672231</v>
      </c>
      <c r="AQ39" s="34" t="n">
        <f aca="false">180 - AP39 -0.1468*(1-0.0549*SIN(Q39))*SIN($A$10*AP39)/(1-0.0167*SIN($A$10*AO39))</f>
        <v>107.464834386388</v>
      </c>
      <c r="AR39" s="64" t="n">
        <f aca="false">SIN($A$10*AI39)</f>
        <v>0.840429485176521</v>
      </c>
      <c r="AS39" s="64" t="n">
        <f aca="false">COS($A$10*AI39)*SIN($A$10*$B$5) - TAN($A$10*AG39)*COS($A$10*$B$5)</f>
        <v>-0.522582551786512</v>
      </c>
      <c r="AT39" s="24" t="n">
        <f aca="false">IF(OR(AND(AR39*AS39&gt;0), AND(AR39&lt;0,AS39&gt;0)), MOD(ATAN2(AS39,AR39)/$A$10+360,360),  ATAN2(AS39,AR39)/$A$10)</f>
        <v>121.873520854573</v>
      </c>
      <c r="AU39" s="39" t="n">
        <f aca="false"> 385000.56 + (-20905355*COS(P39) - 3699111*COS(2*R39-P39) - 2955968*COS(2*R39) - 569925*COS(2*P39) + (1-0.002516*L39)*48888*COS(Q39) - 3149*COS(2*S39)  +246158*COS(2*R39-2*P39) -(1 - 0.002516*L39)*152138*COS(2*R39-Q39-P39) -170733*COS(2*R39+P39) -(1 - 0.002516*L39)*204586*COS(2*R39-Q39) -(1 - 0.002516*L39)*129620*COS(Q39-P39)  + 108743*COS(R39) +(1-0.002516*L39)*104755*COS(Q39+P39) +10321*COS(2*R39-2*S39) +79661*COS(P39-2*S39) -34782*COS(4*R39-P39) -23210*COS(3*P39)  -21636*COS(4*R39-2*P39) +(1 - 0.002516*L39)*24208*COS(2*R39+Q39-P39) +(1 - 0.002516*L39)*30824*COS(2*R39+Q39) -8379*COS(R39-P39) -(1 - 0.002516*L39)*16675*COS(R39+Q39)  -(1 - 0.002516*L39)*12831*COS(2*R39-Q39+P39) -10445*COS(2*R39+2*P39) -11650*COS(4*R39) +14403*COS(2*R39-3*P39) -(1-0.002516*L39)*7003*COS(Q39-2*P39)  + (1 - 0.002516*L39)*10056*COS(2*R39-Q39-2*P39) +6322*COS(R39+P39) -(1 - 0.002516*L39)*(1-0.002516*L39)*9884*COS(2*R39-2*Q39) +(1-0.002516*L39)*5751*COS(Q39+2*P39) - (1-0.002516*L39)^2*4950*COS(2*R39-2*Q39-P39)  +4130*COS(2*R39+P39-2*S39) -(1-0.002516*L39)*3958*COS(4*R39-Q39-P39) +3258*COS(3*R39-P39) +(1 - 0.002516*L39)*2616*COS(2*R39+Q39+P39) -(1 - 0.002516*L39)*1897*COS(4*R39-Q39-2*P39)  -(1-0.002516*L39)^2*2117*COS(2*Q39-P39) +(1-0.002516*L39)^2*2354*COS(2*R39+2*Q39-P39) -1423*COS(4*R39+P39) -1117*COS(4*P39) -(1-0.002516*L39)*1571*COS(4*R39-Q39)  -1739*COS(R39-2*P39) -4421*COS(2*P39-2*S39) +(1-0.002516*L39)^2*1165*COS(2*Q39+P39) +8752*COS(2*R39-P39-2*S39))/1000</f>
        <v>394565.090181077</v>
      </c>
      <c r="AV39" s="54" t="n">
        <f aca="false">ATAN(0.99664719*TAN($A$10*input!$E$2))</f>
        <v>0.871010436227447</v>
      </c>
      <c r="AW39" s="54" t="n">
        <f aca="false">COS(AV39)</f>
        <v>0.644053912545845</v>
      </c>
      <c r="AX39" s="54" t="n">
        <f aca="false">0.99664719*SIN(AV39)</f>
        <v>0.762415269897027</v>
      </c>
      <c r="AY39" s="54" t="n">
        <f aca="false">6378.14/AU39</f>
        <v>0.0161649881318008</v>
      </c>
      <c r="AZ39" s="55" t="n">
        <f aca="false">M39-15*AH39</f>
        <v>122.814499981112</v>
      </c>
      <c r="BA39" s="56" t="n">
        <f aca="false">COS($A$10*AG39)*SIN($A$10*AZ39)</f>
        <v>0.828928407231334</v>
      </c>
      <c r="BB39" s="56" t="n">
        <f aca="false">COS($A$10*AG39)*COS($A$10*AZ39)-AW39*AY39</f>
        <v>-0.544915981931248</v>
      </c>
      <c r="BC39" s="56" t="n">
        <f aca="false">SIN($A$10*AG39)-AX39*AY39</f>
        <v>0.152545977064677</v>
      </c>
      <c r="BD39" s="57" t="n">
        <f aca="false">SQRT(BA39^2+BB39^2+BC39^2)</f>
        <v>1.00365631906434</v>
      </c>
      <c r="BE39" s="58" t="n">
        <f aca="false">AU39*BD39</f>
        <v>396007.746042431</v>
      </c>
    </row>
    <row r="40" customFormat="false" ht="15" hidden="false" customHeight="false" outlineLevel="0" collapsed="false">
      <c r="A40" s="22"/>
      <c r="D40" s="41" t="n">
        <f aca="false">K40-INT(275*E40/9)+IF($A$8="common year",2,1)*INT((E40+9)/12)+30</f>
        <v>8</v>
      </c>
      <c r="E40" s="41" t="n">
        <f aca="false">IF(K40&lt;32,1,INT(9*(IF($A$8="common year",2,1)+K40)/275+0.98))</f>
        <v>2</v>
      </c>
      <c r="F40" s="42" t="n">
        <f aca="false">AM40</f>
        <v>-3.51820836387445</v>
      </c>
      <c r="G40" s="60" t="n">
        <f aca="false">F40+1.02/(TAN($A$10*(F40+10.3/(F40+5.11)))*60)</f>
        <v>-3.18859956442428</v>
      </c>
      <c r="H40" s="43" t="n">
        <f aca="false">100*(1+COS($A$10*AQ40))/2</f>
        <v>44.5619931028663</v>
      </c>
      <c r="I40" s="43" t="n">
        <f aca="false">IF(AI40&gt;180,AT40-180,AT40+180)</f>
        <v>296.240141736393</v>
      </c>
      <c r="J40" s="61" t="n">
        <f aca="false">$J$2+K39</f>
        <v>2459618.5</v>
      </c>
      <c r="K40" s="21" t="n">
        <v>39</v>
      </c>
      <c r="L40" s="62" t="n">
        <f aca="false">(J40-2451545)/36525</f>
        <v>0.22104038329911</v>
      </c>
      <c r="M40" s="63" t="n">
        <f aca="false">MOD(280.46061837+360.98564736629*(J40-2451545)+0.000387933*L40^2-L40^3/38710000+$B$7,360)</f>
        <v>153.084649065509</v>
      </c>
      <c r="N40" s="30" t="n">
        <f aca="false">0.606433+1336.855225*L40 - INT(0.606433+1336.855225*L40)</f>
        <v>0.105424349418172</v>
      </c>
      <c r="O40" s="35" t="n">
        <f aca="false">22640*SIN(P40)-4586*SIN(P40-2*R40)+2370*SIN(2*R40)+769*SIN(2*P40)-668*SIN(Q40)-412*SIN(2*S40)-212*SIN(2*P40-2*R40)-206*SIN(P40+Q40-2*R40)+192*SIN(P40+2*R40)-165*SIN(Q40-2*R40)-125*SIN(R40)-110*SIN(P40+Q40)+148*SIN(P40-Q40)-55*SIN(2*S40-2*R40)</f>
        <v>17505.4092084166</v>
      </c>
      <c r="P40" s="32" t="n">
        <f aca="false">2*PI()*(0.374897+1325.55241*L40 - INT(0.374897+1325.55241*L40))</f>
        <v>2.35939759183224</v>
      </c>
      <c r="Q40" s="36" t="n">
        <f aca="false">2*PI()*(0.993133+99.997361*L40 - INT(0.993133+99.997361*L40))</f>
        <v>0.606880329715689</v>
      </c>
      <c r="R40" s="36" t="n">
        <f aca="false">2*PI()*(0.827361+1236.853086*L40 - INT(0.827361+1236.853086*L40))</f>
        <v>1.39386945713168</v>
      </c>
      <c r="S40" s="36" t="n">
        <f aca="false">2*PI()*(0.259086+1342.227825*L40 - INT(0.259086+1342.227825*L40))</f>
        <v>5.94162452236869</v>
      </c>
      <c r="T40" s="36" t="n">
        <f aca="false">S40+(O40+412*SIN(2*S40)+541*SIN(Q40))/206264.8062</f>
        <v>6.02672815434426</v>
      </c>
      <c r="U40" s="36" t="n">
        <f aca="false">S40-2*R40</f>
        <v>3.15388560810533</v>
      </c>
      <c r="V40" s="34" t="n">
        <f aca="false">-526*SIN(U40)+44*SIN(P40+U40)-31*SIN(-P40+U40)-23*SIN(Q40+U40)+11*SIN(-Q40+U40)-25*SIN(-2*P40+S40)+21*SIN(-P40+S40)</f>
        <v>-59.227890848044</v>
      </c>
      <c r="W40" s="36" t="n">
        <f aca="false">2*PI()*(N40+O40/1296000-INT(N40+O40/1296000))</f>
        <v>0.747269342059837</v>
      </c>
      <c r="X40" s="35" t="n">
        <f aca="false">W40*180/PI()</f>
        <v>42.8153794595465</v>
      </c>
      <c r="Y40" s="36" t="n">
        <f aca="false">(18520*SIN(T40)+V40)/206264.8062</f>
        <v>-0.0230622072401526</v>
      </c>
      <c r="Z40" s="36" t="n">
        <f aca="false">Y40*180/PI()</f>
        <v>-1.32136714111679</v>
      </c>
      <c r="AA40" s="36" t="n">
        <f aca="false">COS(Y40)*COS(W40)</f>
        <v>0.733352395326418</v>
      </c>
      <c r="AB40" s="36" t="n">
        <f aca="false">COS(Y40)*SIN(W40)</f>
        <v>0.679457499151443</v>
      </c>
      <c r="AC40" s="36" t="n">
        <f aca="false">SIN(Y40)</f>
        <v>-0.0230601629628268</v>
      </c>
      <c r="AD40" s="36" t="n">
        <f aca="false">COS($A$10*(23.4393-46.815*L40/3600))*AB40-SIN($A$10*(23.4393-46.815*L40/3600))*AC40</f>
        <v>0.632575331766364</v>
      </c>
      <c r="AE40" s="36" t="n">
        <f aca="false">SIN($A$10*(23.4393-46.815*L40/3600))*AB40+COS($A$10*(23.4393-46.815*L40/3600))*AC40</f>
        <v>0.249083748786787</v>
      </c>
      <c r="AF40" s="36" t="n">
        <f aca="false">SQRT(1-AE40*AE40)</f>
        <v>0.968481949284715</v>
      </c>
      <c r="AG40" s="35" t="n">
        <f aca="false">ATAN(AE40/AF40)/$A$10</f>
        <v>14.4232997932972</v>
      </c>
      <c r="AH40" s="36" t="n">
        <f aca="false">IF(24*ATAN(AD40/(AA40+AF40))/PI()&gt;0,24*ATAN(AD40/(AA40+AF40))/PI(),24*ATAN(AD40/(AA40+AF40))/PI()+24)</f>
        <v>2.71869387000451</v>
      </c>
      <c r="AI40" s="63" t="n">
        <f aca="false">IF(M40-15*AH40&gt;0,M40-15*AH40,360+M40-15*AH40)</f>
        <v>112.304241015442</v>
      </c>
      <c r="AJ40" s="32" t="n">
        <f aca="false">0.950724+0.051818*COS(P40)+0.009531*COS(2*R40-P40)+0.007843*COS(2*R40)+0.002824*COS(2*P40)+0.000857*COS(2*R40+P40)+0.000533*COS(2*R40-Q40)*(1-0.002495*(J40-2415020)/36525)+0.000401*COS(2*R40-Q40-P40)*(1-0.002495*(J40-2415020)/36525)+0.00032*COS(P40-Q40)*(1-0.002495*(J40-2415020)/36525)-0.000271*COS(R40)</f>
        <v>0.915641493368041</v>
      </c>
      <c r="AK40" s="36" t="n">
        <f aca="false">ASIN(COS($A$10*$B$5)*COS($A$10*AG40)*COS($A$10*AI40)+SIN($A$10*$B$5)*SIN($A$10*AG40))/$A$10</f>
        <v>-2.60531000994943</v>
      </c>
      <c r="AL40" s="32" t="n">
        <f aca="false">ASIN((0.9983271+0.0016764*COS($A$10*2*$B$5))*COS($A$10*AK40)*SIN($A$10*AJ40))/$A$10</f>
        <v>0.912898353925027</v>
      </c>
      <c r="AM40" s="32" t="n">
        <f aca="false">AK40-AL40</f>
        <v>-3.51820836387445</v>
      </c>
      <c r="AN40" s="35" t="n">
        <f aca="false"> MOD(280.4664567 + 360007.6982779*L40/10 + 0.03032028*L40^2/100 + L40^3/49931000,360)</f>
        <v>318.0904333121</v>
      </c>
      <c r="AO40" s="32" t="n">
        <f aca="false"> AN40 + (1.9146 - 0.004817*L40 - 0.000014*L40^2)*SIN(Q40)+ (0.019993 - 0.000101*L40)*SIN(2*Q40)+ 0.00029*SIN(3*Q40)</f>
        <v>319.200728962562</v>
      </c>
      <c r="AP40" s="32" t="n">
        <f aca="false">ACOS(COS(W40-$A$10*AO40)*COS(Y40))/$A$10</f>
        <v>83.6163555569801</v>
      </c>
      <c r="AQ40" s="34" t="n">
        <f aca="false">180 - AP40 -0.1468*(1-0.0549*SIN(Q40))*SIN($A$10*AP40)/(1-0.0167*SIN($A$10*AO40))</f>
        <v>96.2438478954968</v>
      </c>
      <c r="AR40" s="64" t="n">
        <f aca="false">SIN($A$10*AI40)</f>
        <v>0.925181628626562</v>
      </c>
      <c r="AS40" s="64" t="n">
        <f aca="false">COS($A$10*AI40)*SIN($A$10*$B$5) - TAN($A$10*AG40)*COS($A$10*$B$5)</f>
        <v>-0.456051206400818</v>
      </c>
      <c r="AT40" s="24" t="n">
        <f aca="false">IF(OR(AND(AR40*AS40&gt;0), AND(AR40&lt;0,AS40&gt;0)), MOD(ATAN2(AS40,AR40)/$A$10+360,360),  ATAN2(AS40,AR40)/$A$10)</f>
        <v>116.240141736393</v>
      </c>
      <c r="AU40" s="39" t="n">
        <f aca="false"> 385000.56 + (-20905355*COS(P40) - 3699111*COS(2*R40-P40) - 2955968*COS(2*R40) - 569925*COS(2*P40) + (1-0.002516*L40)*48888*COS(Q40) - 3149*COS(2*S40)  +246158*COS(2*R40-2*P40) -(1 - 0.002516*L40)*152138*COS(2*R40-Q40-P40) -170733*COS(2*R40+P40) -(1 - 0.002516*L40)*204586*COS(2*R40-Q40) -(1 - 0.002516*L40)*129620*COS(Q40-P40)  + 108743*COS(R40) +(1-0.002516*L40)*104755*COS(Q40+P40) +10321*COS(2*R40-2*S40) +79661*COS(P40-2*S40) -34782*COS(4*R40-P40) -23210*COS(3*P40)  -21636*COS(4*R40-2*P40) +(1 - 0.002516*L40)*24208*COS(2*R40+Q40-P40) +(1 - 0.002516*L40)*30824*COS(2*R40+Q40) -8379*COS(R40-P40) -(1 - 0.002516*L40)*16675*COS(R40+Q40)  -(1 - 0.002516*L40)*12831*COS(2*R40-Q40+P40) -10445*COS(2*R40+2*P40) -11650*COS(4*R40) +14403*COS(2*R40-3*P40) -(1-0.002516*L40)*7003*COS(Q40-2*P40)  + (1 - 0.002516*L40)*10056*COS(2*R40-Q40-2*P40) +6322*COS(R40+P40) -(1 - 0.002516*L40)*(1-0.002516*L40)*9884*COS(2*R40-2*Q40) +(1-0.002516*L40)*5751*COS(Q40+2*P40) - (1-0.002516*L40)^2*4950*COS(2*R40-2*Q40-P40)  +4130*COS(2*R40+P40-2*S40) -(1-0.002516*L40)*3958*COS(4*R40-Q40-P40) +3258*COS(3*R40-P40) +(1 - 0.002516*L40)*2616*COS(2*R40+Q40+P40) -(1 - 0.002516*L40)*1897*COS(4*R40-Q40-2*P40)  -(1-0.002516*L40)^2*2117*COS(2*Q40-P40) +(1-0.002516*L40)^2*2354*COS(2*R40+2*Q40-P40) -1423*COS(4*R40+P40) -1117*COS(4*P40) -(1-0.002516*L40)*1571*COS(4*R40-Q40)  -1739*COS(R40-2*P40) -4421*COS(2*P40-2*S40) +(1-0.002516*L40)^2*1165*COS(2*Q40+P40) +8752*COS(2*R40-P40-2*S40))/1000</f>
        <v>398902.798076651</v>
      </c>
      <c r="AV40" s="54" t="n">
        <f aca="false">ATAN(0.99664719*TAN($A$10*input!$E$2))</f>
        <v>0.871010436227447</v>
      </c>
      <c r="AW40" s="54" t="n">
        <f aca="false">COS(AV40)</f>
        <v>0.644053912545845</v>
      </c>
      <c r="AX40" s="54" t="n">
        <f aca="false">0.99664719*SIN(AV40)</f>
        <v>0.762415269897027</v>
      </c>
      <c r="AY40" s="54" t="n">
        <f aca="false">6378.14/AU40</f>
        <v>0.015989208475731</v>
      </c>
      <c r="AZ40" s="55" t="n">
        <f aca="false">M40-15*AH40</f>
        <v>112.304241015442</v>
      </c>
      <c r="BA40" s="56" t="n">
        <f aca="false">COS($A$10*AG40)*SIN($A$10*AZ40)</f>
        <v>0.89602170713466</v>
      </c>
      <c r="BB40" s="56" t="n">
        <f aca="false">COS($A$10*AG40)*COS($A$10*AZ40)-AW40*AY40</f>
        <v>-0.377860677575711</v>
      </c>
      <c r="BC40" s="56" t="n">
        <f aca="false">SIN($A$10*AG40)-AX40*AY40</f>
        <v>0.236893332091323</v>
      </c>
      <c r="BD40" s="57" t="n">
        <f aca="false">SQRT(BA40^2+BB40^2+BC40^2)</f>
        <v>1.00087563768123</v>
      </c>
      <c r="BE40" s="58" t="n">
        <f aca="false">AU40*BD40</f>
        <v>399252.092397796</v>
      </c>
    </row>
    <row r="41" customFormat="false" ht="15" hidden="false" customHeight="false" outlineLevel="0" collapsed="false">
      <c r="A41" s="22"/>
      <c r="D41" s="41" t="n">
        <f aca="false">K41-INT(275*E41/9)+IF($A$8="common year",2,1)*INT((E41+9)/12)+30</f>
        <v>9</v>
      </c>
      <c r="E41" s="41" t="n">
        <f aca="false">IF(K41&lt;32,1,INT(9*(IF($A$8="common year",2,1)+K41)/275+0.98))</f>
        <v>2</v>
      </c>
      <c r="F41" s="42" t="n">
        <f aca="false">AM41</f>
        <v>6.20988472007439</v>
      </c>
      <c r="G41" s="60" t="n">
        <f aca="false">F41+1.02/(TAN($A$10*(F41+10.3/(F41+5.11)))*60)</f>
        <v>6.34598562749216</v>
      </c>
      <c r="H41" s="43" t="n">
        <f aca="false">100*(1+COS($A$10*AQ41))/2</f>
        <v>54.1280330678949</v>
      </c>
      <c r="I41" s="43" t="n">
        <f aca="false">IF(AI41&gt;180,AT41-180,AT41+180)</f>
        <v>290.735480482666</v>
      </c>
      <c r="J41" s="61" t="n">
        <f aca="false">$J$2+K40</f>
        <v>2459619.5</v>
      </c>
      <c r="K41" s="21" t="n">
        <v>40</v>
      </c>
      <c r="L41" s="62" t="n">
        <f aca="false">(J41-2451545)/36525</f>
        <v>0.221067761806982</v>
      </c>
      <c r="M41" s="63" t="n">
        <f aca="false">MOD(280.46061837+360.98564736629*(J41-2451545)+0.000387933*L41^2-L41^3/38710000+$B$7,360)</f>
        <v>154.070296436548</v>
      </c>
      <c r="N41" s="30" t="n">
        <f aca="false">0.606433+1336.855225*L41 - INT(0.606433+1336.855225*L41)</f>
        <v>0.142025450718677</v>
      </c>
      <c r="O41" s="35" t="n">
        <f aca="false">22640*SIN(P41)-4586*SIN(P41-2*R41)+2370*SIN(2*R41)+769*SIN(2*P41)-668*SIN(Q41)-412*SIN(2*S41)-212*SIN(2*P41-2*R41)-206*SIN(P41+Q41-2*R41)+192*SIN(P41+2*R41)-165*SIN(Q41-2*R41)-125*SIN(R41)-110*SIN(P41+Q41)+148*SIN(P41-Q41)-55*SIN(2*S41-2*R41)</f>
        <v>13247.99813714</v>
      </c>
      <c r="P41" s="32" t="n">
        <f aca="false">2*PI()*(0.374897+1325.55241*L41 - INT(0.374897+1325.55241*L41))</f>
        <v>2.58742473560806</v>
      </c>
      <c r="Q41" s="36" t="n">
        <f aca="false">2*PI()*(0.993133+99.997361*L41 - INT(0.993133+99.997361*L41))</f>
        <v>0.624082299582696</v>
      </c>
      <c r="R41" s="36" t="n">
        <f aca="false">2*PI()*(0.827361+1236.853086*L41 - INT(0.827361+1236.853086*L41))</f>
        <v>1.6066381672507</v>
      </c>
      <c r="S41" s="36" t="n">
        <f aca="false">2*PI()*(0.259086+1342.227825*L41 - INT(0.259086+1342.227825*L41))</f>
        <v>6.1725202417097</v>
      </c>
      <c r="T41" s="36" t="n">
        <f aca="false">S41+(O41+412*SIN(2*S41)+541*SIN(Q41))/206264.8062</f>
        <v>6.23784252292043</v>
      </c>
      <c r="U41" s="36" t="n">
        <f aca="false">S41-2*R41</f>
        <v>2.95924390720829</v>
      </c>
      <c r="V41" s="34" t="n">
        <f aca="false">-526*SIN(U41)+44*SIN(P41+U41)-31*SIN(-P41+U41)-23*SIN(Q41+U41)+11*SIN(-Q41+U41)-25*SIN(-2*P41+S41)+21*SIN(-P41+S41)</f>
        <v>-148.446494680472</v>
      </c>
      <c r="W41" s="36" t="n">
        <f aca="false">2*PI()*(N41+O41/1296000-INT(N41+O41/1296000))</f>
        <v>0.956600332643141</v>
      </c>
      <c r="X41" s="35" t="n">
        <f aca="false">W41*180/PI()</f>
        <v>54.8091617412626</v>
      </c>
      <c r="Y41" s="36" t="n">
        <f aca="false">(18520*SIN(T41)+V41)/206264.8062</f>
        <v>-0.00478950896972121</v>
      </c>
      <c r="Z41" s="36" t="n">
        <f aca="false">Y41*180/PI()</f>
        <v>-0.274418649905076</v>
      </c>
      <c r="AA41" s="36" t="n">
        <f aca="false">COS(Y41)*COS(W41)</f>
        <v>0.576295035254594</v>
      </c>
      <c r="AB41" s="36" t="n">
        <f aca="false">COS(Y41)*SIN(W41)</f>
        <v>0.817227687440985</v>
      </c>
      <c r="AC41" s="36" t="n">
        <f aca="false">SIN(Y41)</f>
        <v>-0.00478949065833492</v>
      </c>
      <c r="AD41" s="36" t="n">
        <f aca="false">COS($A$10*(23.4393-46.815*L41/3600))*AB41-SIN($A$10*(23.4393-46.815*L41/3600))*AC41</f>
        <v>0.751712933188938</v>
      </c>
      <c r="AE41" s="36" t="n">
        <f aca="false">SIN($A$10*(23.4393-46.815*L41/3600))*AB41+COS($A$10*(23.4393-46.815*L41/3600))*AC41</f>
        <v>0.320642633499336</v>
      </c>
      <c r="AF41" s="36" t="n">
        <f aca="false">SQRT(1-AE41*AE41)</f>
        <v>0.94720024365633</v>
      </c>
      <c r="AG41" s="35" t="n">
        <f aca="false">ATAN(AE41/AF41)/$A$10</f>
        <v>18.7017930789825</v>
      </c>
      <c r="AH41" s="36" t="n">
        <f aca="false">IF(24*ATAN(AD41/(AA41+AF41))/PI()&gt;0,24*ATAN(AD41/(AA41+AF41))/PI(),24*ATAN(AD41/(AA41+AF41))/PI()+24)</f>
        <v>3.50164631852182</v>
      </c>
      <c r="AI41" s="63" t="n">
        <f aca="false">IF(M41-15*AH41&gt;0,M41-15*AH41,360+M41-15*AH41)</f>
        <v>101.545601658721</v>
      </c>
      <c r="AJ41" s="32" t="n">
        <f aca="false">0.950724+0.051818*COS(P41)+0.009531*COS(2*R41-P41)+0.007843*COS(2*R41)+0.002824*COS(2*P41)+0.000857*COS(2*R41+P41)+0.000533*COS(2*R41-Q41)*(1-0.002495*(J41-2415020)/36525)+0.000401*COS(2*R41-Q41-P41)*(1-0.002495*(J41-2415020)/36525)+0.00032*COS(P41-Q41)*(1-0.002495*(J41-2415020)/36525)-0.000271*COS(R41)</f>
        <v>0.908417039500605</v>
      </c>
      <c r="AK41" s="36" t="n">
        <f aca="false">ASIN(COS($A$10*$B$5)*COS($A$10*AG41)*COS($A$10*AI41)+SIN($A$10*$B$5)*SIN($A$10*AG41))/$A$10</f>
        <v>7.10954610142744</v>
      </c>
      <c r="AL41" s="32" t="n">
        <f aca="false">ASIN((0.9983271+0.0016764*COS($A$10*2*$B$5))*COS($A$10*AK41)*SIN($A$10*AJ41))/$A$10</f>
        <v>0.899661381353049</v>
      </c>
      <c r="AM41" s="32" t="n">
        <f aca="false">AK41-AL41</f>
        <v>6.20988472007439</v>
      </c>
      <c r="AN41" s="35" t="n">
        <f aca="false"> MOD(280.4664567 + 360007.6982779*L41/10 + 0.03032028*L41^2/100 + L41^3/49931000,360)</f>
        <v>319.076080675874</v>
      </c>
      <c r="AO41" s="32" t="n">
        <f aca="false"> AN41 + (1.9146 - 0.004817*L41 - 0.000014*L41^2)*SIN(Q41)+ (0.019993 - 0.000101*L41)*SIN(2*Q41)+ 0.00029*SIN(3*Q41)</f>
        <v>320.213477083707</v>
      </c>
      <c r="AP41" s="32" t="n">
        <f aca="false">ACOS(COS(W41-$A$10*AO41)*COS(Y41))/$A$10</f>
        <v>94.59563183321</v>
      </c>
      <c r="AQ41" s="34" t="n">
        <f aca="false">180 - AP41 -0.1468*(1-0.0549*SIN(Q41))*SIN($A$10*AP41)/(1-0.0167*SIN($A$10*AO41))</f>
        <v>85.2642320837063</v>
      </c>
      <c r="AR41" s="64" t="n">
        <f aca="false">SIN($A$10*AI41)</f>
        <v>0.979765717510931</v>
      </c>
      <c r="AS41" s="64" t="n">
        <f aca="false">COS($A$10*AI41)*SIN($A$10*$B$5) - TAN($A$10*AG41)*COS($A$10*$B$5)</f>
        <v>-0.370916127513216</v>
      </c>
      <c r="AT41" s="24" t="n">
        <f aca="false">IF(OR(AND(AR41*AS41&gt;0), AND(AR41&lt;0,AS41&gt;0)), MOD(ATAN2(AS41,AR41)/$A$10+360,360),  ATAN2(AS41,AR41)/$A$10)</f>
        <v>110.735480482666</v>
      </c>
      <c r="AU41" s="39" t="n">
        <f aca="false"> 385000.56 + (-20905355*COS(P41) - 3699111*COS(2*R41-P41) - 2955968*COS(2*R41) - 569925*COS(2*P41) + (1-0.002516*L41)*48888*COS(Q41) - 3149*COS(2*S41)  +246158*COS(2*R41-2*P41) -(1 - 0.002516*L41)*152138*COS(2*R41-Q41-P41) -170733*COS(2*R41+P41) -(1 - 0.002516*L41)*204586*COS(2*R41-Q41) -(1 - 0.002516*L41)*129620*COS(Q41-P41)  + 108743*COS(R41) +(1-0.002516*L41)*104755*COS(Q41+P41) +10321*COS(2*R41-2*S41) +79661*COS(P41-2*S41) -34782*COS(4*R41-P41) -23210*COS(3*P41)  -21636*COS(4*R41-2*P41) +(1 - 0.002516*L41)*24208*COS(2*R41+Q41-P41) +(1 - 0.002516*L41)*30824*COS(2*R41+Q41) -8379*COS(R41-P41) -(1 - 0.002516*L41)*16675*COS(R41+Q41)  -(1 - 0.002516*L41)*12831*COS(2*R41-Q41+P41) -10445*COS(2*R41+2*P41) -11650*COS(4*R41) +14403*COS(2*R41-3*P41) -(1-0.002516*L41)*7003*COS(Q41-2*P41)  + (1 - 0.002516*L41)*10056*COS(2*R41-Q41-2*P41) +6322*COS(R41+P41) -(1 - 0.002516*L41)*(1-0.002516*L41)*9884*COS(2*R41-2*Q41) +(1-0.002516*L41)*5751*COS(Q41+2*P41) - (1-0.002516*L41)^2*4950*COS(2*R41-2*Q41-P41)  +4130*COS(2*R41+P41-2*S41) -(1-0.002516*L41)*3958*COS(4*R41-Q41-P41) +3258*COS(3*R41-P41) +(1 - 0.002516*L41)*2616*COS(2*R41+Q41+P41) -(1 - 0.002516*L41)*1897*COS(4*R41-Q41-2*P41)  -(1-0.002516*L41)^2*2117*COS(2*Q41-P41) +(1-0.002516*L41)^2*2354*COS(2*R41+2*Q41-P41) -1423*COS(4*R41+P41) -1117*COS(4*P41) -(1-0.002516*L41)*1571*COS(4*R41-Q41)  -1739*COS(R41-2*P41) -4421*COS(2*P41-2*S41) +(1-0.002516*L41)^2*1165*COS(2*Q41+P41) +8752*COS(2*R41-P41-2*S41))/1000</f>
        <v>402140.306653343</v>
      </c>
      <c r="AV41" s="54" t="n">
        <f aca="false">ATAN(0.99664719*TAN($A$10*input!$E$2))</f>
        <v>0.871010436227447</v>
      </c>
      <c r="AW41" s="54" t="n">
        <f aca="false">COS(AV41)</f>
        <v>0.644053912545845</v>
      </c>
      <c r="AX41" s="54" t="n">
        <f aca="false">0.99664719*SIN(AV41)</f>
        <v>0.762415269897027</v>
      </c>
      <c r="AY41" s="54" t="n">
        <f aca="false">6378.14/AU41</f>
        <v>0.0158604842500858</v>
      </c>
      <c r="AZ41" s="55" t="n">
        <f aca="false">M41-15*AH41</f>
        <v>101.545601658721</v>
      </c>
      <c r="BA41" s="56" t="n">
        <f aca="false">COS($A$10*AG41)*SIN($A$10*AZ41)</f>
        <v>0.928034326352473</v>
      </c>
      <c r="BB41" s="56" t="n">
        <f aca="false">COS($A$10*AG41)*COS($A$10*AZ41)-AW41*AY41</f>
        <v>-0.199795044635583</v>
      </c>
      <c r="BC41" s="56" t="n">
        <f aca="false">SIN($A$10*AG41)-AX41*AY41</f>
        <v>0.30855035811911</v>
      </c>
      <c r="BD41" s="57" t="n">
        <f aca="false">SQRT(BA41^2+BB41^2+BC41^2)</f>
        <v>0.998182896189297</v>
      </c>
      <c r="BE41" s="58" t="n">
        <f aca="false">AU41*BD41</f>
        <v>401409.575969686</v>
      </c>
    </row>
    <row r="42" customFormat="false" ht="15" hidden="false" customHeight="false" outlineLevel="0" collapsed="false">
      <c r="A42" s="22"/>
      <c r="D42" s="41" t="n">
        <f aca="false">K42-INT(275*E42/9)+IF($A$8="common year",2,1)*INT((E42+9)/12)+30</f>
        <v>10</v>
      </c>
      <c r="E42" s="41" t="n">
        <f aca="false">IF(K42&lt;32,1,INT(9*(IF($A$8="common year",2,1)+K42)/275+0.98))</f>
        <v>2</v>
      </c>
      <c r="F42" s="42" t="n">
        <f aca="false">AM42</f>
        <v>15.6984671158211</v>
      </c>
      <c r="G42" s="60" t="n">
        <f aca="false">F42+1.02/(TAN($A$10*(F42+10.3/(F42+5.11)))*60)</f>
        <v>15.7570064473944</v>
      </c>
      <c r="H42" s="43" t="n">
        <f aca="false">100*(1+COS($A$10*AQ42))/2</f>
        <v>63.4115655462003</v>
      </c>
      <c r="I42" s="43" t="n">
        <f aca="false">IF(AI42&gt;180,AT42-180,AT42+180)</f>
        <v>284.965279155465</v>
      </c>
      <c r="J42" s="61" t="n">
        <f aca="false">$J$2+K41</f>
        <v>2459620.5</v>
      </c>
      <c r="K42" s="21" t="n">
        <v>41</v>
      </c>
      <c r="L42" s="62" t="n">
        <f aca="false">(J42-2451545)/36525</f>
        <v>0.221095140314853</v>
      </c>
      <c r="M42" s="63" t="n">
        <f aca="false">MOD(280.46061837+360.98564736629*(J42-2451545)+0.000387933*L42^2-L42^3/38710000+$B$7,360)</f>
        <v>155.055943807587</v>
      </c>
      <c r="N42" s="30" t="n">
        <f aca="false">0.606433+1336.855225*L42 - INT(0.606433+1336.855225*L42)</f>
        <v>0.178626552019125</v>
      </c>
      <c r="O42" s="35" t="n">
        <f aca="false">22640*SIN(P42)-4586*SIN(P42-2*R42)+2370*SIN(2*R42)+769*SIN(2*P42)-668*SIN(Q42)-412*SIN(2*S42)-212*SIN(2*P42-2*R42)-206*SIN(P42+Q42-2*R42)+192*SIN(P42+2*R42)-165*SIN(Q42-2*R42)-125*SIN(R42)-110*SIN(P42+Q42)+148*SIN(P42-Q42)-55*SIN(2*S42-2*R42)</f>
        <v>8443.23656683022</v>
      </c>
      <c r="P42" s="32" t="n">
        <f aca="false">2*PI()*(0.374897+1325.55241*L42 - INT(0.374897+1325.55241*L42))</f>
        <v>2.81545187938388</v>
      </c>
      <c r="Q42" s="36" t="n">
        <f aca="false">2*PI()*(0.993133+99.997361*L42 - INT(0.993133+99.997361*L42))</f>
        <v>0.641284269449681</v>
      </c>
      <c r="R42" s="36" t="n">
        <f aca="false">2*PI()*(0.827361+1236.853086*L42 - INT(0.827361+1236.853086*L42))</f>
        <v>1.81940687736937</v>
      </c>
      <c r="S42" s="36" t="n">
        <f aca="false">2*PI()*(0.259086+1342.227825*L42 - INT(0.259086+1342.227825*L42))</f>
        <v>0.120230653871114</v>
      </c>
      <c r="T42" s="36" t="n">
        <f aca="false">S42+(O42+412*SIN(2*S42)+541*SIN(Q42))/206264.8062</f>
        <v>0.163209359585604</v>
      </c>
      <c r="U42" s="36" t="n">
        <f aca="false">S42-2*R42</f>
        <v>-3.51858310086763</v>
      </c>
      <c r="V42" s="34" t="n">
        <f aca="false">-526*SIN(U42)+44*SIN(P42+U42)-31*SIN(-P42+U42)-23*SIN(Q42+U42)+11*SIN(-Q42+U42)-25*SIN(-2*P42+S42)+21*SIN(-P42+S42)</f>
        <v>-231.650878357695</v>
      </c>
      <c r="W42" s="36" t="n">
        <f aca="false">2*PI()*(N42+O42/1296000-INT(N42+O42/1296000))</f>
        <v>1.16327769312315</v>
      </c>
      <c r="X42" s="35" t="n">
        <f aca="false">W42*180/PI()</f>
        <v>66.6509022176712</v>
      </c>
      <c r="Y42" s="36" t="n">
        <f aca="false">(18520*SIN(T42)+V42)/206264.8062</f>
        <v>0.0134661129369903</v>
      </c>
      <c r="Z42" s="36" t="n">
        <f aca="false">Y42*180/PI()</f>
        <v>0.771551437736062</v>
      </c>
      <c r="AA42" s="36" t="n">
        <f aca="false">COS(Y42)*COS(W42)</f>
        <v>0.396296456275917</v>
      </c>
      <c r="AB42" s="36" t="n">
        <f aca="false">COS(Y42)*SIN(W42)</f>
        <v>0.918023852362341</v>
      </c>
      <c r="AC42" s="36" t="n">
        <f aca="false">SIN(Y42)</f>
        <v>0.0134657059583942</v>
      </c>
      <c r="AD42" s="36" t="n">
        <f aca="false">COS($A$10*(23.4393-46.815*L42/3600))*AB42-SIN($A$10*(23.4393-46.815*L42/3600))*AC42</f>
        <v>0.836932951754162</v>
      </c>
      <c r="AE42" s="36" t="n">
        <f aca="false">SIN($A$10*(23.4393-46.815*L42/3600))*AB42+COS($A$10*(23.4393-46.815*L42/3600))*AC42</f>
        <v>0.377481592943571</v>
      </c>
      <c r="AF42" s="36" t="n">
        <f aca="false">SQRT(1-AE42*AE42)</f>
        <v>0.926017087849238</v>
      </c>
      <c r="AG42" s="35" t="n">
        <f aca="false">ATAN(AE42/AF42)/$A$10</f>
        <v>22.1777737137039</v>
      </c>
      <c r="AH42" s="36" t="n">
        <f aca="false">IF(24*ATAN(AD42/(AA42+AF42))/PI()&gt;0,24*ATAN(AD42/(AA42+AF42))/PI(),24*ATAN(AD42/(AA42+AF42))/PI()+24)</f>
        <v>4.310797216498</v>
      </c>
      <c r="AI42" s="63" t="n">
        <f aca="false">IF(M42-15*AH42&gt;0,M42-15*AH42,360+M42-15*AH42)</f>
        <v>90.3939855601171</v>
      </c>
      <c r="AJ42" s="32" t="n">
        <f aca="false">0.950724+0.051818*COS(P42)+0.009531*COS(2*R42-P42)+0.007843*COS(2*R42)+0.002824*COS(2*P42)+0.000857*COS(2*R42+P42)+0.000533*COS(2*R42-Q42)*(1-0.002495*(J42-2415020)/36525)+0.000401*COS(2*R42-Q42-P42)*(1-0.002495*(J42-2415020)/36525)+0.00032*COS(P42-Q42)*(1-0.002495*(J42-2415020)/36525)-0.000271*COS(R42)</f>
        <v>0.904064708184835</v>
      </c>
      <c r="AK42" s="36" t="n">
        <f aca="false">ASIN(COS($A$10*$B$5)*COS($A$10*AG42)*COS($A$10*AI42)+SIN($A$10*$B$5)*SIN($A$10*AG42))/$A$10</f>
        <v>16.5633129811517</v>
      </c>
      <c r="AL42" s="32" t="n">
        <f aca="false">ASIN((0.9983271+0.0016764*COS($A$10*2*$B$5))*COS($A$10*AK42)*SIN($A$10*AJ42))/$A$10</f>
        <v>0.86484586533069</v>
      </c>
      <c r="AM42" s="32" t="n">
        <f aca="false">AK42-AL42</f>
        <v>15.6984671158211</v>
      </c>
      <c r="AN42" s="35" t="n">
        <f aca="false"> MOD(280.4664567 + 360007.6982779*L42/10 + 0.03032028*L42^2/100 + L42^3/49931000,360)</f>
        <v>320.061728039647</v>
      </c>
      <c r="AO42" s="32" t="n">
        <f aca="false"> AN42 + (1.9146 - 0.004817*L42 - 0.000014*L42^2)*SIN(Q42)+ (0.019993 - 0.000101*L42)*SIN(2*Q42)+ 0.00029*SIN(3*Q42)</f>
        <v>321.225871177939</v>
      </c>
      <c r="AP42" s="32" t="n">
        <f aca="false">ACOS(COS(W42-$A$10*AO42)*COS(Y42))/$A$10</f>
        <v>105.423597710646</v>
      </c>
      <c r="AQ42" s="34" t="n">
        <f aca="false">180 - AP42 -0.1468*(1-0.0549*SIN(Q42))*SIN($A$10*AP42)/(1-0.0167*SIN($A$10*AO42))</f>
        <v>74.4409533844335</v>
      </c>
      <c r="AR42" s="64" t="n">
        <f aca="false">SIN($A$10*AI42)</f>
        <v>0.999976358031301</v>
      </c>
      <c r="AS42" s="64" t="n">
        <f aca="false">COS($A$10*AI42)*SIN($A$10*$B$5) - TAN($A$10*AG42)*COS($A$10*$B$5)</f>
        <v>-0.267293476904003</v>
      </c>
      <c r="AT42" s="24" t="n">
        <f aca="false">IF(OR(AND(AR42*AS42&gt;0), AND(AR42&lt;0,AS42&gt;0)), MOD(ATAN2(AS42,AR42)/$A$10+360,360),  ATAN2(AS42,AR42)/$A$10)</f>
        <v>104.965279155465</v>
      </c>
      <c r="AU42" s="39" t="n">
        <f aca="false"> 385000.56 + (-20905355*COS(P42) - 3699111*COS(2*R42-P42) - 2955968*COS(2*R42) - 569925*COS(2*P42) + (1-0.002516*L42)*48888*COS(Q42) - 3149*COS(2*S42)  +246158*COS(2*R42-2*P42) -(1 - 0.002516*L42)*152138*COS(2*R42-Q42-P42) -170733*COS(2*R42+P42) -(1 - 0.002516*L42)*204586*COS(2*R42-Q42) -(1 - 0.002516*L42)*129620*COS(Q42-P42)  + 108743*COS(R42) +(1-0.002516*L42)*104755*COS(Q42+P42) +10321*COS(2*R42-2*S42) +79661*COS(P42-2*S42) -34782*COS(4*R42-P42) -23210*COS(3*P42)  -21636*COS(4*R42-2*P42) +(1 - 0.002516*L42)*24208*COS(2*R42+Q42-P42) +(1 - 0.002516*L42)*30824*COS(2*R42+Q42) -8379*COS(R42-P42) -(1 - 0.002516*L42)*16675*COS(R42+Q42)  -(1 - 0.002516*L42)*12831*COS(2*R42-Q42+P42) -10445*COS(2*R42+2*P42) -11650*COS(4*R42) +14403*COS(2*R42-3*P42) -(1-0.002516*L42)*7003*COS(Q42-2*P42)  + (1 - 0.002516*L42)*10056*COS(2*R42-Q42-2*P42) +6322*COS(R42+P42) -(1 - 0.002516*L42)*(1-0.002516*L42)*9884*COS(2*R42-2*Q42) +(1-0.002516*L42)*5751*COS(Q42+2*P42) - (1-0.002516*L42)^2*4950*COS(2*R42-2*Q42-P42)  +4130*COS(2*R42+P42-2*S42) -(1-0.002516*L42)*3958*COS(4*R42-Q42-P42) +3258*COS(3*R42-P42) +(1 - 0.002516*L42)*2616*COS(2*R42+Q42+P42) -(1 - 0.002516*L42)*1897*COS(4*R42-Q42-2*P42)  -(1-0.002516*L42)^2*2117*COS(2*Q42-P42) +(1-0.002516*L42)^2*2354*COS(2*R42+2*Q42-P42) -1423*COS(4*R42+P42) -1117*COS(4*P42) -(1-0.002516*L42)*1571*COS(4*R42-Q42)  -1739*COS(R42-2*P42) -4421*COS(2*P42-2*S42) +(1-0.002516*L42)^2*1165*COS(2*Q42+P42) +8752*COS(2*R42-P42-2*S42))/1000</f>
        <v>404145.233914094</v>
      </c>
      <c r="AV42" s="54" t="n">
        <f aca="false">ATAN(0.99664719*TAN($A$10*input!$E$2))</f>
        <v>0.871010436227447</v>
      </c>
      <c r="AW42" s="54" t="n">
        <f aca="false">COS(AV42)</f>
        <v>0.644053912545845</v>
      </c>
      <c r="AX42" s="54" t="n">
        <f aca="false">0.99664719*SIN(AV42)</f>
        <v>0.762415269897027</v>
      </c>
      <c r="AY42" s="54" t="n">
        <f aca="false">6378.14/AU42</f>
        <v>0.0157818018493712</v>
      </c>
      <c r="AZ42" s="55" t="n">
        <f aca="false">M42-15*AH42</f>
        <v>90.3939855601171</v>
      </c>
      <c r="BA42" s="56" t="n">
        <f aca="false">COS($A$10*AG42)*SIN($A$10*AZ42)</f>
        <v>0.925995194982233</v>
      </c>
      <c r="BB42" s="56" t="n">
        <f aca="false">COS($A$10*AG42)*COS($A$10*AZ42)-AW42*AY42</f>
        <v>-0.0165318942313967</v>
      </c>
      <c r="BC42" s="56" t="n">
        <f aca="false">SIN($A$10*AG42)-AX42*AY42</f>
        <v>0.365449306227122</v>
      </c>
      <c r="BD42" s="57" t="n">
        <f aca="false">SQRT(BA42^2+BB42^2+BC42^2)</f>
        <v>0.995637283391369</v>
      </c>
      <c r="BE42" s="58" t="n">
        <f aca="false">AU42*BD42</f>
        <v>402382.062789798</v>
      </c>
    </row>
    <row r="43" customFormat="false" ht="15" hidden="false" customHeight="false" outlineLevel="0" collapsed="false">
      <c r="A43" s="22"/>
      <c r="D43" s="41" t="n">
        <f aca="false">K43-INT(275*E43/9)+IF($A$8="common year",2,1)*INT((E43+9)/12)+30</f>
        <v>11</v>
      </c>
      <c r="E43" s="41" t="n">
        <f aca="false">IF(K43&lt;32,1,INT(9*(IF($A$8="common year",2,1)+K43)/275+0.98))</f>
        <v>2</v>
      </c>
      <c r="F43" s="42" t="n">
        <f aca="false">AM43</f>
        <v>24.8933154744824</v>
      </c>
      <c r="G43" s="60" t="n">
        <f aca="false">F43+1.02/(TAN($A$10*(F43+10.3/(F43+5.11)))*60)</f>
        <v>24.929382475301</v>
      </c>
      <c r="H43" s="43" t="n">
        <f aca="false">100*(1+COS($A$10*AQ43))/2</f>
        <v>72.1607175596506</v>
      </c>
      <c r="I43" s="43" t="n">
        <f aca="false">IF(AI43&gt;180,AT43-180,AT43+180)</f>
        <v>278.506657408645</v>
      </c>
      <c r="J43" s="61" t="n">
        <f aca="false">$J$2+K42</f>
        <v>2459621.5</v>
      </c>
      <c r="K43" s="21" t="n">
        <v>42</v>
      </c>
      <c r="L43" s="62" t="n">
        <f aca="false">(J43-2451545)/36525</f>
        <v>0.221122518822724</v>
      </c>
      <c r="M43" s="63" t="n">
        <f aca="false">MOD(280.46061837+360.98564736629*(J43-2451545)+0.000387933*L43^2-L43^3/38710000+$B$7,360)</f>
        <v>156.041591179091</v>
      </c>
      <c r="N43" s="30" t="n">
        <f aca="false">0.606433+1336.855225*L43 - INT(0.606433+1336.855225*L43)</f>
        <v>0.21522765331963</v>
      </c>
      <c r="O43" s="35" t="n">
        <f aca="false">22640*SIN(P43)-4586*SIN(P43-2*R43)+2370*SIN(2*R43)+769*SIN(2*P43)-668*SIN(Q43)-412*SIN(2*S43)-212*SIN(2*P43-2*R43)-206*SIN(P43+Q43-2*R43)+192*SIN(P43+2*R43)-165*SIN(Q43-2*R43)-125*SIN(R43)-110*SIN(P43+Q43)+148*SIN(P43-Q43)-55*SIN(2*S43-2*R43)</f>
        <v>3429.52758285175</v>
      </c>
      <c r="P43" s="32" t="n">
        <f aca="false">2*PI()*(0.374897+1325.55241*L43 - INT(0.374897+1325.55241*L43))</f>
        <v>3.0434790231597</v>
      </c>
      <c r="Q43" s="36" t="n">
        <f aca="false">2*PI()*(0.993133+99.997361*L43 - INT(0.993133+99.997361*L43))</f>
        <v>0.658486239316688</v>
      </c>
      <c r="R43" s="36" t="n">
        <f aca="false">2*PI()*(0.827361+1236.853086*L43 - INT(0.827361+1236.853086*L43))</f>
        <v>2.03217558748839</v>
      </c>
      <c r="S43" s="36" t="n">
        <f aca="false">2*PI()*(0.259086+1342.227825*L43 - INT(0.259086+1342.227825*L43))</f>
        <v>0.351126373212118</v>
      </c>
      <c r="T43" s="36" t="n">
        <f aca="false">S43+(O43+412*SIN(2*S43)+541*SIN(Q43))/206264.8062</f>
        <v>0.370648381942336</v>
      </c>
      <c r="U43" s="36" t="n">
        <f aca="false">S43-2*R43</f>
        <v>-3.71322480176467</v>
      </c>
      <c r="V43" s="34" t="n">
        <f aca="false">-526*SIN(U43)+44*SIN(P43+U43)-31*SIN(-P43+U43)-23*SIN(Q43+U43)+11*SIN(-Q43+U43)-25*SIN(-2*P43+S43)+21*SIN(-P43+S43)</f>
        <v>-307.514529587231</v>
      </c>
      <c r="W43" s="36" t="n">
        <f aca="false">2*PI()*(N43+O43/1296000-INT(N43+O43/1296000))</f>
        <v>1.36894204795573</v>
      </c>
      <c r="X43" s="35" t="n">
        <f aca="false">W43*180/PI()</f>
        <v>78.434601745859</v>
      </c>
      <c r="Y43" s="36" t="n">
        <f aca="false">(18520*SIN(T43)+V43)/206264.8062</f>
        <v>0.0310319409203914</v>
      </c>
      <c r="Z43" s="36" t="n">
        <f aca="false">Y43*180/PI()</f>
        <v>1.77799924483774</v>
      </c>
      <c r="AA43" s="36" t="n">
        <f aca="false">COS(Y43)*COS(W43)</f>
        <v>0.200389780381948</v>
      </c>
      <c r="AB43" s="36" t="n">
        <f aca="false">COS(Y43)*SIN(W43)</f>
        <v>0.979224827928976</v>
      </c>
      <c r="AC43" s="36" t="n">
        <f aca="false">SIN(Y43)</f>
        <v>0.031026960630096</v>
      </c>
      <c r="AD43" s="36" t="n">
        <f aca="false">COS($A$10*(23.4393-46.815*L43/3600))*AB43-SIN($A$10*(23.4393-46.815*L43/3600))*AC43</f>
        <v>0.886100309484768</v>
      </c>
      <c r="AE43" s="36" t="n">
        <f aca="false">SIN($A$10*(23.4393-46.815*L43/3600))*AB43+COS($A$10*(23.4393-46.815*L43/3600))*AC43</f>
        <v>0.4179356139999</v>
      </c>
      <c r="AF43" s="36" t="n">
        <f aca="false">SQRT(1-AE43*AE43)</f>
        <v>0.908476649425029</v>
      </c>
      <c r="AG43" s="35" t="n">
        <f aca="false">ATAN(AE43/AF43)/$A$10</f>
        <v>24.704322616303</v>
      </c>
      <c r="AH43" s="36" t="n">
        <f aca="false">IF(24*ATAN(AD43/(AA43+AF43))/PI()&gt;0,24*ATAN(AD43/(AA43+AF43))/PI(),24*ATAN(AD43/(AA43+AF43))/PI()+24)</f>
        <v>5.15046851964755</v>
      </c>
      <c r="AI43" s="63" t="n">
        <f aca="false">IF(M43-15*AH43&gt;0,M43-15*AH43,360+M43-15*AH43)</f>
        <v>78.7845633843782</v>
      </c>
      <c r="AJ43" s="32" t="n">
        <f aca="false">0.950724+0.051818*COS(P43)+0.009531*COS(2*R43-P43)+0.007843*COS(2*R43)+0.002824*COS(2*P43)+0.000857*COS(2*R43+P43)+0.000533*COS(2*R43-Q43)*(1-0.002495*(J43-2415020)/36525)+0.000401*COS(2*R43-Q43-P43)*(1-0.002495*(J43-2415020)/36525)+0.00032*COS(P43-Q43)*(1-0.002495*(J43-2415020)/36525)-0.000271*COS(R43)</f>
        <v>0.902503202378557</v>
      </c>
      <c r="AK43" s="36" t="n">
        <f aca="false">ASIN(COS($A$10*$B$5)*COS($A$10*AG43)*COS($A$10*AI43)+SIN($A$10*$B$5)*SIN($A$10*AG43))/$A$10</f>
        <v>25.704903342618</v>
      </c>
      <c r="AL43" s="32" t="n">
        <f aca="false">ASIN((0.9983271+0.0016764*COS($A$10*2*$B$5))*COS($A$10*AK43)*SIN($A$10*AJ43))/$A$10</f>
        <v>0.811587868135688</v>
      </c>
      <c r="AM43" s="32" t="n">
        <f aca="false">AK43-AL43</f>
        <v>24.8933154744824</v>
      </c>
      <c r="AN43" s="35" t="n">
        <f aca="false"> MOD(280.4664567 + 360007.6982779*L43/10 + 0.03032028*L43^2/100 + L43^3/49931000,360)</f>
        <v>321.047375403421</v>
      </c>
      <c r="AO43" s="32" t="n">
        <f aca="false"> AN43 + (1.9146 - 0.004817*L43 - 0.000014*L43^2)*SIN(Q43)+ (0.019993 - 0.000101*L43)*SIN(2*Q43)+ 0.00029*SIN(3*Q43)</f>
        <v>322.23790315895</v>
      </c>
      <c r="AP43" s="32" t="n">
        <f aca="false">ACOS(COS(W43-$A$10*AO43)*COS(Y43))/$A$10</f>
        <v>116.183127765358</v>
      </c>
      <c r="AQ43" s="34" t="n">
        <f aca="false">180 - AP43 -0.1468*(1-0.0549*SIN(Q43))*SIN($A$10*AP43)/(1-0.0167*SIN($A$10*AO43))</f>
        <v>63.6908500470321</v>
      </c>
      <c r="AR43" s="64" t="n">
        <f aca="false">SIN($A$10*AI43)</f>
        <v>0.980902789173687</v>
      </c>
      <c r="AS43" s="64" t="n">
        <f aca="false">COS($A$10*AI43)*SIN($A$10*$B$5) - TAN($A$10*AG43)*COS($A$10*$B$5)</f>
        <v>-0.146713426511116</v>
      </c>
      <c r="AT43" s="24" t="n">
        <f aca="false">IF(OR(AND(AR43*AS43&gt;0), AND(AR43&lt;0,AS43&gt;0)), MOD(ATAN2(AS43,AR43)/$A$10+360,360),  ATAN2(AS43,AR43)/$A$10)</f>
        <v>98.5066574086453</v>
      </c>
      <c r="AU43" s="39" t="n">
        <f aca="false"> 385000.56 + (-20905355*COS(P43) - 3699111*COS(2*R43-P43) - 2955968*COS(2*R43) - 569925*COS(2*P43) + (1-0.002516*L43)*48888*COS(Q43) - 3149*COS(2*S43)  +246158*COS(2*R43-2*P43) -(1 - 0.002516*L43)*152138*COS(2*R43-Q43-P43) -170733*COS(2*R43+P43) -(1 - 0.002516*L43)*204586*COS(2*R43-Q43) -(1 - 0.002516*L43)*129620*COS(Q43-P43)  + 108743*COS(R43) +(1-0.002516*L43)*104755*COS(Q43+P43) +10321*COS(2*R43-2*S43) +79661*COS(P43-2*S43) -34782*COS(4*R43-P43) -23210*COS(3*P43)  -21636*COS(4*R43-2*P43) +(1 - 0.002516*L43)*24208*COS(2*R43+Q43-P43) +(1 - 0.002516*L43)*30824*COS(2*R43+Q43) -8379*COS(R43-P43) -(1 - 0.002516*L43)*16675*COS(R43+Q43)  -(1 - 0.002516*L43)*12831*COS(2*R43-Q43+P43) -10445*COS(2*R43+2*P43) -11650*COS(4*R43) +14403*COS(2*R43-3*P43) -(1-0.002516*L43)*7003*COS(Q43-2*P43)  + (1 - 0.002516*L43)*10056*COS(2*R43-Q43-2*P43) +6322*COS(R43+P43) -(1 - 0.002516*L43)*(1-0.002516*L43)*9884*COS(2*R43-2*Q43) +(1-0.002516*L43)*5751*COS(Q43+2*P43) - (1-0.002516*L43)^2*4950*COS(2*R43-2*Q43-P43)  +4130*COS(2*R43+P43-2*S43) -(1-0.002516*L43)*3958*COS(4*R43-Q43-P43) +3258*COS(3*R43-P43) +(1 - 0.002516*L43)*2616*COS(2*R43+Q43+P43) -(1 - 0.002516*L43)*1897*COS(4*R43-Q43-2*P43)  -(1-0.002516*L43)^2*2117*COS(2*Q43-P43) +(1-0.002516*L43)^2*2354*COS(2*R43+2*Q43-P43) -1423*COS(4*R43+P43) -1117*COS(4*P43) -(1-0.002516*L43)*1571*COS(4*R43-Q43)  -1739*COS(R43-2*P43) -4421*COS(2*P43-2*S43) +(1-0.002516*L43)^2*1165*COS(2*Q43+P43) +8752*COS(2*R43-P43-2*S43))/1000</f>
        <v>404891.057580602</v>
      </c>
      <c r="AV43" s="54" t="n">
        <f aca="false">ATAN(0.99664719*TAN($A$10*input!$E$2))</f>
        <v>0.871010436227447</v>
      </c>
      <c r="AW43" s="54" t="n">
        <f aca="false">COS(AV43)</f>
        <v>0.644053912545845</v>
      </c>
      <c r="AX43" s="54" t="n">
        <f aca="false">0.99664719*SIN(AV43)</f>
        <v>0.762415269897027</v>
      </c>
      <c r="AY43" s="54" t="n">
        <f aca="false">6378.14/AU43</f>
        <v>0.0157527312114822</v>
      </c>
      <c r="AZ43" s="55" t="n">
        <f aca="false">M43-15*AH43</f>
        <v>78.7845633843782</v>
      </c>
      <c r="BA43" s="56" t="n">
        <f aca="false">COS($A$10*AG43)*SIN($A$10*AZ43)</f>
        <v>0.891127279320177</v>
      </c>
      <c r="BB43" s="56" t="n">
        <f aca="false">COS($A$10*AG43)*COS($A$10*AZ43)-AW43*AY43</f>
        <v>0.166551858144413</v>
      </c>
      <c r="BC43" s="56" t="n">
        <f aca="false">SIN($A$10*AG43)-AX43*AY43</f>
        <v>0.405925491181682</v>
      </c>
      <c r="BD43" s="57" t="n">
        <f aca="false">SQRT(BA43^2+BB43^2+BC43^2)</f>
        <v>0.993288907514338</v>
      </c>
      <c r="BE43" s="58" t="n">
        <f aca="false">AU43*BD43</f>
        <v>402173.796246561</v>
      </c>
    </row>
    <row r="44" customFormat="false" ht="15" hidden="false" customHeight="false" outlineLevel="0" collapsed="false">
      <c r="A44" s="22"/>
      <c r="D44" s="41" t="n">
        <f aca="false">K44-INT(275*E44/9)+IF($A$8="common year",2,1)*INT((E44+9)/12)+30</f>
        <v>12</v>
      </c>
      <c r="E44" s="41" t="n">
        <f aca="false">IF(K44&lt;32,1,INT(9*(IF($A$8="common year",2,1)+K44)/275+0.98))</f>
        <v>2</v>
      </c>
      <c r="F44" s="42" t="n">
        <f aca="false">AM44</f>
        <v>33.678431348431</v>
      </c>
      <c r="G44" s="60" t="n">
        <f aca="false">F44+1.02/(TAN($A$10*(F44+10.3/(F44+5.11)))*60)</f>
        <v>33.7036881226071</v>
      </c>
      <c r="H44" s="43" t="n">
        <f aca="false">100*(1+COS($A$10*AQ44))/2</f>
        <v>80.1330046319278</v>
      </c>
      <c r="I44" s="43" t="n">
        <f aca="false">IF(AI44&gt;180,AT44-180,AT44+180)</f>
        <v>270.820546715974</v>
      </c>
      <c r="J44" s="61" t="n">
        <f aca="false">$J$2+K43</f>
        <v>2459622.5</v>
      </c>
      <c r="K44" s="21" t="n">
        <v>43</v>
      </c>
      <c r="L44" s="62" t="n">
        <f aca="false">(J44-2451545)/36525</f>
        <v>0.221149897330595</v>
      </c>
      <c r="M44" s="63" t="n">
        <f aca="false">MOD(280.46061837+360.98564736629*(J44-2451545)+0.000387933*L44^2-L44^3/38710000+$B$7,360)</f>
        <v>157.02723855013</v>
      </c>
      <c r="N44" s="30" t="n">
        <f aca="false">0.606433+1336.855225*L44 - INT(0.606433+1336.855225*L44)</f>
        <v>0.251828754620078</v>
      </c>
      <c r="O44" s="35" t="n">
        <f aca="false">22640*SIN(P44)-4586*SIN(P44-2*R44)+2370*SIN(2*R44)+769*SIN(2*P44)-668*SIN(Q44)-412*SIN(2*S44)-212*SIN(2*P44-2*R44)-206*SIN(P44+Q44-2*R44)+192*SIN(P44+2*R44)-165*SIN(Q44-2*R44)-125*SIN(R44)-110*SIN(P44+Q44)+148*SIN(P44-Q44)-55*SIN(2*S44-2*R44)</f>
        <v>-1483.6253824494</v>
      </c>
      <c r="P44" s="32" t="n">
        <f aca="false">2*PI()*(0.374897+1325.55241*L44 - INT(0.374897+1325.55241*L44))</f>
        <v>3.27150616693551</v>
      </c>
      <c r="Q44" s="36" t="n">
        <f aca="false">2*PI()*(0.993133+99.997361*L44 - INT(0.993133+99.997361*L44))</f>
        <v>0.675688209183673</v>
      </c>
      <c r="R44" s="36" t="n">
        <f aca="false">2*PI()*(0.827361+1236.853086*L44 - INT(0.827361+1236.853086*L44))</f>
        <v>2.24494429760742</v>
      </c>
      <c r="S44" s="36" t="n">
        <f aca="false">2*PI()*(0.259086+1342.227825*L44 - INT(0.259086+1342.227825*L44))</f>
        <v>0.582022092552765</v>
      </c>
      <c r="T44" s="36" t="n">
        <f aca="false">S44+(O44+412*SIN(2*S44)+541*SIN(Q44))/206264.8062</f>
        <v>0.578304152574217</v>
      </c>
      <c r="U44" s="36" t="n">
        <f aca="false">S44-2*R44</f>
        <v>-3.90786650266207</v>
      </c>
      <c r="V44" s="34" t="n">
        <f aca="false">-526*SIN(U44)+44*SIN(P44+U44)-31*SIN(-P44+U44)-23*SIN(Q44+U44)+11*SIN(-Q44+U44)-25*SIN(-2*P44+S44)+21*SIN(-P44+S44)</f>
        <v>-374.95815853234</v>
      </c>
      <c r="W44" s="36" t="n">
        <f aca="false">2*PI()*(N44+O44/1296000-INT(N44+O44/1296000))</f>
        <v>1.57509391212368</v>
      </c>
      <c r="X44" s="35" t="n">
        <f aca="false">W44*180/PI()</f>
        <v>90.2462335014366</v>
      </c>
      <c r="Y44" s="36" t="n">
        <f aca="false">(18520*SIN(T44)+V44)/206264.8062</f>
        <v>0.0472604119304975</v>
      </c>
      <c r="Z44" s="36" t="n">
        <f aca="false">Y44*180/PI()</f>
        <v>2.70782214166723</v>
      </c>
      <c r="AA44" s="36" t="n">
        <f aca="false">COS(Y44)*COS(W44)</f>
        <v>-0.00429277357954482</v>
      </c>
      <c r="AB44" s="36" t="n">
        <f aca="false">COS(Y44)*SIN(W44)</f>
        <v>0.998874210285785</v>
      </c>
      <c r="AC44" s="36" t="n">
        <f aca="false">SIN(Y44)</f>
        <v>0.0472428208402467</v>
      </c>
      <c r="AD44" s="36" t="n">
        <f aca="false">COS($A$10*(23.4393-46.815*L44/3600))*AB44-SIN($A$10*(23.4393-46.815*L44/3600))*AC44</f>
        <v>0.897679104715172</v>
      </c>
      <c r="AE44" s="36" t="n">
        <f aca="false">SIN($A$10*(23.4393-46.815*L44/3600))*AB44+COS($A$10*(23.4393-46.815*L44/3600))*AC44</f>
        <v>0.440628865432987</v>
      </c>
      <c r="AF44" s="36" t="n">
        <f aca="false">SQRT(1-AE44*AE44)</f>
        <v>0.897689368850517</v>
      </c>
      <c r="AG44" s="35" t="n">
        <f aca="false">ATAN(AE44/AF44)/$A$10</f>
        <v>26.1440121076883</v>
      </c>
      <c r="AH44" s="36" t="n">
        <f aca="false">IF(24*ATAN(AD44/(AA44+AF44))/PI()&gt;0,24*ATAN(AD44/(AA44+AF44))/PI(),24*ATAN(AD44/(AA44+AF44))/PI()+24)</f>
        <v>6.01826606206818</v>
      </c>
      <c r="AI44" s="63" t="n">
        <f aca="false">IF(M44-15*AH44&gt;0,M44-15*AH44,360+M44-15*AH44)</f>
        <v>66.7532476191076</v>
      </c>
      <c r="AJ44" s="32" t="n">
        <f aca="false">0.950724+0.051818*COS(P44)+0.009531*COS(2*R44-P44)+0.007843*COS(2*R44)+0.002824*COS(2*P44)+0.000857*COS(2*R44+P44)+0.000533*COS(2*R44-Q44)*(1-0.002495*(J44-2415020)/36525)+0.000401*COS(2*R44-Q44-P44)*(1-0.002495*(J44-2415020)/36525)+0.00032*COS(P44-Q44)*(1-0.002495*(J44-2415020)/36525)-0.000271*COS(R44)</f>
        <v>0.903533347677401</v>
      </c>
      <c r="AK44" s="36" t="n">
        <f aca="false">ASIN(COS($A$10*$B$5)*COS($A$10*AG44)*COS($A$10*AI44)+SIN($A$10*$B$5)*SIN($A$10*AG44))/$A$10</f>
        <v>34.4222766393936</v>
      </c>
      <c r="AL44" s="32" t="n">
        <f aca="false">ASIN((0.9983271+0.0016764*COS($A$10*2*$B$5))*COS($A$10*AK44)*SIN($A$10*AJ44))/$A$10</f>
        <v>0.743845290962596</v>
      </c>
      <c r="AM44" s="32" t="n">
        <f aca="false">AK44-AL44</f>
        <v>33.678431348431</v>
      </c>
      <c r="AN44" s="35" t="n">
        <f aca="false"> MOD(280.4664567 + 360007.6982779*L44/10 + 0.03032028*L44^2/100 + L44^3/49931000,360)</f>
        <v>322.033022767197</v>
      </c>
      <c r="AO44" s="32" t="n">
        <f aca="false"> AN44 + (1.9146 - 0.004817*L44 - 0.000014*L44^2)*SIN(Q44)+ (0.019993 - 0.000101*L44)*SIN(2*Q44)+ 0.00029*SIN(3*Q44)</f>
        <v>323.249565069415</v>
      </c>
      <c r="AP44" s="32" t="n">
        <f aca="false">ACOS(COS(W44-$A$10*AO44)*COS(Y44))/$A$10</f>
        <v>126.948481292853</v>
      </c>
      <c r="AQ44" s="34" t="n">
        <f aca="false">180 - AP44 -0.1468*(1-0.0549*SIN(Q44))*SIN($A$10*AP44)/(1-0.0167*SIN($A$10*AO44))</f>
        <v>52.9393487484058</v>
      </c>
      <c r="AR44" s="64" t="n">
        <f aca="false">SIN($A$10*AI44)</f>
        <v>0.918813583404574</v>
      </c>
      <c r="AS44" s="64" t="n">
        <f aca="false">COS($A$10*AI44)*SIN($A$10*$B$5) - TAN($A$10*AG44)*COS($A$10*$B$5)</f>
        <v>-0.0131594512235595</v>
      </c>
      <c r="AT44" s="24" t="n">
        <f aca="false">IF(OR(AND(AR44*AS44&gt;0), AND(AR44&lt;0,AS44&gt;0)), MOD(ATAN2(AS44,AR44)/$A$10+360,360),  ATAN2(AS44,AR44)/$A$10)</f>
        <v>90.8205467159743</v>
      </c>
      <c r="AU44" s="39" t="n">
        <f aca="false"> 385000.56 + (-20905355*COS(P44) - 3699111*COS(2*R44-P44) - 2955968*COS(2*R44) - 569925*COS(2*P44) + (1-0.002516*L44)*48888*COS(Q44) - 3149*COS(2*S44)  +246158*COS(2*R44-2*P44) -(1 - 0.002516*L44)*152138*COS(2*R44-Q44-P44) -170733*COS(2*R44+P44) -(1 - 0.002516*L44)*204586*COS(2*R44-Q44) -(1 - 0.002516*L44)*129620*COS(Q44-P44)  + 108743*COS(R44) +(1-0.002516*L44)*104755*COS(Q44+P44) +10321*COS(2*R44-2*S44) +79661*COS(P44-2*S44) -34782*COS(4*R44-P44) -23210*COS(3*P44)  -21636*COS(4*R44-2*P44) +(1 - 0.002516*L44)*24208*COS(2*R44+Q44-P44) +(1 - 0.002516*L44)*30824*COS(2*R44+Q44) -8379*COS(R44-P44) -(1 - 0.002516*L44)*16675*COS(R44+Q44)  -(1 - 0.002516*L44)*12831*COS(2*R44-Q44+P44) -10445*COS(2*R44+2*P44) -11650*COS(4*R44) +14403*COS(2*R44-3*P44) -(1-0.002516*L44)*7003*COS(Q44-2*P44)  + (1 - 0.002516*L44)*10056*COS(2*R44-Q44-2*P44) +6322*COS(R44+P44) -(1 - 0.002516*L44)*(1-0.002516*L44)*9884*COS(2*R44-2*Q44) +(1-0.002516*L44)*5751*COS(Q44+2*P44) - (1-0.002516*L44)^2*4950*COS(2*R44-2*Q44-P44)  +4130*COS(2*R44+P44-2*S44) -(1-0.002516*L44)*3958*COS(4*R44-Q44-P44) +3258*COS(3*R44-P44) +(1 - 0.002516*L44)*2616*COS(2*R44+Q44+P44) -(1 - 0.002516*L44)*1897*COS(4*R44-Q44-2*P44)  -(1-0.002516*L44)^2*2117*COS(2*Q44-P44) +(1-0.002516*L44)^2*2354*COS(2*R44+2*Q44-P44) -1423*COS(4*R44+P44) -1117*COS(4*P44) -(1-0.002516*L44)*1571*COS(4*R44-Q44)  -1739*COS(R44-2*P44) -4421*COS(2*P44-2*S44) +(1-0.002516*L44)^2*1165*COS(2*Q44+P44) +8752*COS(2*R44-P44-2*S44))/1000</f>
        <v>404446.06300618</v>
      </c>
      <c r="AV44" s="54" t="n">
        <f aca="false">ATAN(0.99664719*TAN($A$10*input!$E$2))</f>
        <v>0.871010436227447</v>
      </c>
      <c r="AW44" s="54" t="n">
        <f aca="false">COS(AV44)</f>
        <v>0.644053912545845</v>
      </c>
      <c r="AX44" s="54" t="n">
        <f aca="false">0.99664719*SIN(AV44)</f>
        <v>0.762415269897027</v>
      </c>
      <c r="AY44" s="54" t="n">
        <f aca="false">6378.14/AU44</f>
        <v>0.0157700632628053</v>
      </c>
      <c r="AZ44" s="55" t="n">
        <f aca="false">M44-15*AH44</f>
        <v>66.7532476191076</v>
      </c>
      <c r="BA44" s="56" t="n">
        <f aca="false">COS($A$10*AG44)*SIN($A$10*AZ44)</f>
        <v>0.824809185777733</v>
      </c>
      <c r="BB44" s="56" t="n">
        <f aca="false">COS($A$10*AG44)*COS($A$10*AZ44)-AW44*AY44</f>
        <v>0.344153841376383</v>
      </c>
      <c r="BC44" s="56" t="n">
        <f aca="false">SIN($A$10*AG44)-AX44*AY44</f>
        <v>0.428605528394182</v>
      </c>
      <c r="BD44" s="57" t="n">
        <f aca="false">SQRT(BA44^2+BB44^2+BC44^2)</f>
        <v>0.991188558472859</v>
      </c>
      <c r="BE44" s="58" t="n">
        <f aca="false">AU44*BD44</f>
        <v>400882.310171118</v>
      </c>
    </row>
    <row r="45" customFormat="false" ht="15" hidden="false" customHeight="false" outlineLevel="0" collapsed="false">
      <c r="A45" s="22"/>
      <c r="D45" s="41" t="n">
        <f aca="false">K45-INT(275*E45/9)+IF($A$8="common year",2,1)*INT((E45+9)/12)+30</f>
        <v>13</v>
      </c>
      <c r="E45" s="41" t="n">
        <f aca="false">IF(K45&lt;32,1,INT(9*(IF($A$8="common year",2,1)+K45)/275+0.98))</f>
        <v>2</v>
      </c>
      <c r="F45" s="42" t="n">
        <f aca="false">AM45</f>
        <v>41.8144504528276</v>
      </c>
      <c r="G45" s="60" t="n">
        <f aca="false">F45+1.02/(TAN($A$10*(F45+10.3/(F45+5.11)))*60)</f>
        <v>41.8333083808819</v>
      </c>
      <c r="H45" s="43" t="n">
        <f aca="false">100*(1+COS($A$10*AQ45))/2</f>
        <v>87.0832302489357</v>
      </c>
      <c r="I45" s="43" t="n">
        <f aca="false">IF(AI45&gt;180,AT45-180,AT45+180)</f>
        <v>261.156637313886</v>
      </c>
      <c r="J45" s="61" t="n">
        <f aca="false">$J$2+K44</f>
        <v>2459623.5</v>
      </c>
      <c r="K45" s="21" t="n">
        <v>44</v>
      </c>
      <c r="L45" s="62" t="n">
        <f aca="false">(J45-2451545)/36525</f>
        <v>0.221177275838467</v>
      </c>
      <c r="M45" s="63" t="n">
        <f aca="false">MOD(280.46061837+360.98564736629*(J45-2451545)+0.000387933*L45^2-L45^3/38710000+$B$7,360)</f>
        <v>158.012885920703</v>
      </c>
      <c r="N45" s="30" t="n">
        <f aca="false">0.606433+1336.855225*L45 - INT(0.606433+1336.855225*L45)</f>
        <v>0.288429855920583</v>
      </c>
      <c r="O45" s="35" t="n">
        <f aca="false">22640*SIN(P45)-4586*SIN(P45-2*R45)+2370*SIN(2*R45)+769*SIN(2*P45)-668*SIN(Q45)-412*SIN(2*S45)-212*SIN(2*P45-2*R45)-206*SIN(P45+Q45-2*R45)+192*SIN(P45+2*R45)-165*SIN(Q45-2*R45)-125*SIN(R45)-110*SIN(P45+Q45)+148*SIN(P45-Q45)-55*SIN(2*S45-2*R45)</f>
        <v>-6029.87904918005</v>
      </c>
      <c r="P45" s="32" t="n">
        <f aca="false">2*PI()*(0.374897+1325.55241*L45 - INT(0.374897+1325.55241*L45))</f>
        <v>3.49953331071097</v>
      </c>
      <c r="Q45" s="36" t="n">
        <f aca="false">2*PI()*(0.993133+99.997361*L45 - INT(0.993133+99.997361*L45))</f>
        <v>0.692890179050658</v>
      </c>
      <c r="R45" s="36" t="n">
        <f aca="false">2*PI()*(0.827361+1236.853086*L45 - INT(0.827361+1236.853086*L45))</f>
        <v>2.45771300772644</v>
      </c>
      <c r="S45" s="36" t="n">
        <f aca="false">2*PI()*(0.259086+1342.227825*L45 - INT(0.259086+1342.227825*L45))</f>
        <v>0.812917811893769</v>
      </c>
      <c r="T45" s="36" t="n">
        <f aca="false">S45+(O45+412*SIN(2*S45)+541*SIN(Q45))/206264.8062</f>
        <v>0.78735391689967</v>
      </c>
      <c r="U45" s="36" t="n">
        <f aca="false">S45-2*R45</f>
        <v>-4.10250820355912</v>
      </c>
      <c r="V45" s="34" t="n">
        <f aca="false">-526*SIN(U45)+44*SIN(P45+U45)-31*SIN(-P45+U45)-23*SIN(Q45+U45)+11*SIN(-Q45+U45)-25*SIN(-2*P45+S45)+21*SIN(-P45+S45)</f>
        <v>-432.880923302412</v>
      </c>
      <c r="W45" s="36" t="n">
        <f aca="false">2*PI()*(N45+O45/1296000-INT(N45+O45/1296000))</f>
        <v>1.78302455428735</v>
      </c>
      <c r="X45" s="35" t="n">
        <f aca="false">W45*180/PI()</f>
        <v>102.15978172886</v>
      </c>
      <c r="Y45" s="36" t="n">
        <f aca="false">(18520*SIN(T45)+V45)/206264.8062</f>
        <v>0.0615147277739034</v>
      </c>
      <c r="Z45" s="36" t="n">
        <f aca="false">Y45*180/PI()</f>
        <v>3.52453427934085</v>
      </c>
      <c r="AA45" s="36" t="n">
        <f aca="false">COS(Y45)*COS(W45)</f>
        <v>-0.210240246732995</v>
      </c>
      <c r="AB45" s="36" t="n">
        <f aca="false">COS(Y45)*SIN(W45)</f>
        <v>0.975714992994405</v>
      </c>
      <c r="AC45" s="36" t="n">
        <f aca="false">SIN(Y45)</f>
        <v>0.0614759391923183</v>
      </c>
      <c r="AD45" s="36" t="n">
        <f aca="false">COS($A$10*(23.4393-46.815*L45/3600))*AB45-SIN($A$10*(23.4393-46.815*L45/3600))*AC45</f>
        <v>0.870769524204627</v>
      </c>
      <c r="AE45" s="36" t="n">
        <f aca="false">SIN($A$10*(23.4393-46.815*L45/3600))*AB45+COS($A$10*(23.4393-46.815*L45/3600))*AC45</f>
        <v>0.444476629723202</v>
      </c>
      <c r="AF45" s="36" t="n">
        <f aca="false">SQRT(1-AE45*AE45)</f>
        <v>0.895790447387057</v>
      </c>
      <c r="AG45" s="35" t="n">
        <f aca="false">ATAN(AE45/AF45)/$A$10</f>
        <v>26.3898585500609</v>
      </c>
      <c r="AH45" s="36" t="n">
        <f aca="false">IF(24*ATAN(AD45/(AA45+AF45))/PI()&gt;0,24*ATAN(AD45/(AA45+AF45))/PI(),24*ATAN(AD45/(AA45+AF45))/PI()+24)</f>
        <v>6.90492152792319</v>
      </c>
      <c r="AI45" s="63" t="n">
        <f aca="false">IF(M45-15*AH45&gt;0,M45-15*AH45,360+M45-15*AH45)</f>
        <v>54.4390630018555</v>
      </c>
      <c r="AJ45" s="32" t="n">
        <f aca="false">0.950724+0.051818*COS(P45)+0.009531*COS(2*R45-P45)+0.007843*COS(2*R45)+0.002824*COS(2*P45)+0.000857*COS(2*R45+P45)+0.000533*COS(2*R45-Q45)*(1-0.002495*(J45-2415020)/36525)+0.000401*COS(2*R45-Q45-P45)*(1-0.002495*(J45-2415020)/36525)+0.00032*COS(P45-Q45)*(1-0.002495*(J45-2415020)/36525)-0.000271*COS(R45)</f>
        <v>0.906875530336164</v>
      </c>
      <c r="AK45" s="36" t="n">
        <f aca="false">ASIN(COS($A$10*$B$5)*COS($A$10*AG45)*COS($A$10*AI45)+SIN($A$10*$B$5)*SIN($A$10*AG45))/$A$10</f>
        <v>42.4819360359979</v>
      </c>
      <c r="AL45" s="32" t="n">
        <f aca="false">ASIN((0.9983271+0.0016764*COS($A$10*2*$B$5))*COS($A$10*AK45)*SIN($A$10*AJ45))/$A$10</f>
        <v>0.667485583170328</v>
      </c>
      <c r="AM45" s="32" t="n">
        <f aca="false">AK45-AL45</f>
        <v>41.8144504528276</v>
      </c>
      <c r="AN45" s="35" t="n">
        <f aca="false"> MOD(280.4664567 + 360007.6982779*L45/10 + 0.03032028*L45^2/100 + L45^3/49931000,360)</f>
        <v>323.018670130972</v>
      </c>
      <c r="AO45" s="32" t="n">
        <f aca="false"> AN45 + (1.9146 - 0.004817*L45 - 0.000014*L45^2)*SIN(Q45)+ (0.019993 - 0.000101*L45)*SIN(2*Q45)+ 0.00029*SIN(3*Q45)</f>
        <v>324.260849083496</v>
      </c>
      <c r="AP45" s="32" t="n">
        <f aca="false">ACOS(COS(W45-$A$10*AO45)*COS(Y45))/$A$10</f>
        <v>137.779138854385</v>
      </c>
      <c r="AQ45" s="34" t="n">
        <f aca="false">180 - AP45 -0.1468*(1-0.0549*SIN(Q45))*SIN($A$10*AP45)/(1-0.0167*SIN($A$10*AO45))</f>
        <v>42.1265919200562</v>
      </c>
      <c r="AR45" s="64" t="n">
        <f aca="false">SIN($A$10*AI45)</f>
        <v>0.813497450676274</v>
      </c>
      <c r="AS45" s="64" t="n">
        <f aca="false">COS($A$10*AI45)*SIN($A$10*$B$5) - TAN($A$10*AG45)*COS($A$10*$B$5)</f>
        <v>0.126566560469587</v>
      </c>
      <c r="AT45" s="24" t="n">
        <f aca="false">IF(OR(AND(AR45*AS45&gt;0), AND(AR45&lt;0,AS45&gt;0)), MOD(ATAN2(AS45,AR45)/$A$10+360,360),  ATAN2(AS45,AR45)/$A$10)</f>
        <v>81.1566373138856</v>
      </c>
      <c r="AU45" s="39" t="n">
        <f aca="false"> 385000.56 + (-20905355*COS(P45) - 3699111*COS(2*R45-P45) - 2955968*COS(2*R45) - 569925*COS(2*P45) + (1-0.002516*L45)*48888*COS(Q45) - 3149*COS(2*S45)  +246158*COS(2*R45-2*P45) -(1 - 0.002516*L45)*152138*COS(2*R45-Q45-P45) -170733*COS(2*R45+P45) -(1 - 0.002516*L45)*204586*COS(2*R45-Q45) -(1 - 0.002516*L45)*129620*COS(Q45-P45)  + 108743*COS(R45) +(1-0.002516*L45)*104755*COS(Q45+P45) +10321*COS(2*R45-2*S45) +79661*COS(P45-2*S45) -34782*COS(4*R45-P45) -23210*COS(3*P45)  -21636*COS(4*R45-2*P45) +(1 - 0.002516*L45)*24208*COS(2*R45+Q45-P45) +(1 - 0.002516*L45)*30824*COS(2*R45+Q45) -8379*COS(R45-P45) -(1 - 0.002516*L45)*16675*COS(R45+Q45)  -(1 - 0.002516*L45)*12831*COS(2*R45-Q45+P45) -10445*COS(2*R45+2*P45) -11650*COS(4*R45) +14403*COS(2*R45-3*P45) -(1-0.002516*L45)*7003*COS(Q45-2*P45)  + (1 - 0.002516*L45)*10056*COS(2*R45-Q45-2*P45) +6322*COS(R45+P45) -(1 - 0.002516*L45)*(1-0.002516*L45)*9884*COS(2*R45-2*Q45) +(1-0.002516*L45)*5751*COS(Q45+2*P45) - (1-0.002516*L45)^2*4950*COS(2*R45-2*Q45-P45)  +4130*COS(2*R45+P45-2*S45) -(1-0.002516*L45)*3958*COS(4*R45-Q45-P45) +3258*COS(3*R45-P45) +(1 - 0.002516*L45)*2616*COS(2*R45+Q45+P45) -(1 - 0.002516*L45)*1897*COS(4*R45-Q45-2*P45)  -(1-0.002516*L45)^2*2117*COS(2*Q45-P45) +(1-0.002516*L45)^2*2354*COS(2*R45+2*Q45-P45) -1423*COS(4*R45+P45) -1117*COS(4*P45) -(1-0.002516*L45)*1571*COS(4*R45-Q45)  -1739*COS(R45-2*P45) -4421*COS(2*P45-2*S45) +(1-0.002516*L45)^2*1165*COS(2*Q45+P45) +8752*COS(2*R45-P45-2*S45))/1000</f>
        <v>402955.814450084</v>
      </c>
      <c r="AV45" s="54" t="n">
        <f aca="false">ATAN(0.99664719*TAN($A$10*input!$E$2))</f>
        <v>0.871010436227447</v>
      </c>
      <c r="AW45" s="54" t="n">
        <f aca="false">COS(AV45)</f>
        <v>0.644053912545845</v>
      </c>
      <c r="AX45" s="54" t="n">
        <f aca="false">0.99664719*SIN(AV45)</f>
        <v>0.762415269897027</v>
      </c>
      <c r="AY45" s="54" t="n">
        <f aca="false">6378.14/AU45</f>
        <v>0.0158283855730045</v>
      </c>
      <c r="AZ45" s="55" t="n">
        <f aca="false">M45-15*AH45</f>
        <v>54.4390630018555</v>
      </c>
      <c r="BA45" s="56" t="n">
        <f aca="false">COS($A$10*AG45)*SIN($A$10*AZ45)</f>
        <v>0.72872324528953</v>
      </c>
      <c r="BB45" s="56" t="n">
        <f aca="false">COS($A$10*AG45)*COS($A$10*AZ45)-AW45*AY45</f>
        <v>0.510769155854498</v>
      </c>
      <c r="BC45" s="56" t="n">
        <f aca="false">SIN($A$10*AG45)-AX45*AY45</f>
        <v>0.432408826864525</v>
      </c>
      <c r="BD45" s="57" t="n">
        <f aca="false">SQRT(BA45^2+BB45^2+BC45^2)</f>
        <v>0.989393800439429</v>
      </c>
      <c r="BE45" s="58" t="n">
        <f aca="false">AU45*BD45</f>
        <v>398681.984667934</v>
      </c>
    </row>
    <row r="46" customFormat="false" ht="15" hidden="false" customHeight="false" outlineLevel="0" collapsed="false">
      <c r="A46" s="22"/>
      <c r="D46" s="41" t="n">
        <f aca="false">K46-INT(275*E46/9)+IF($A$8="common year",2,1)*INT((E46+9)/12)+30</f>
        <v>14</v>
      </c>
      <c r="E46" s="41" t="n">
        <f aca="false">IF(K46&lt;32,1,INT(9*(IF($A$8="common year",2,1)+K46)/275+0.98))</f>
        <v>2</v>
      </c>
      <c r="F46" s="42" t="n">
        <f aca="false">AM46</f>
        <v>48.8413510234542</v>
      </c>
      <c r="G46" s="60" t="n">
        <f aca="false">F46+1.02/(TAN($A$10*(F46+10.3/(F46+5.11)))*60)</f>
        <v>48.8561120995539</v>
      </c>
      <c r="H46" s="43" t="n">
        <f aca="false">100*(1+COS($A$10*AQ46))/2</f>
        <v>92.7599393511022</v>
      </c>
      <c r="I46" s="43" t="n">
        <f aca="false">IF(AI46&gt;180,AT46-180,AT46+180)</f>
        <v>248.509291212037</v>
      </c>
      <c r="J46" s="61" t="n">
        <f aca="false">$J$2+K45</f>
        <v>2459624.5</v>
      </c>
      <c r="K46" s="21" t="n">
        <v>45</v>
      </c>
      <c r="L46" s="62" t="n">
        <f aca="false">(J46-2451545)/36525</f>
        <v>0.221204654346338</v>
      </c>
      <c r="M46" s="63" t="n">
        <f aca="false">MOD(280.46061837+360.98564736629*(J46-2451545)+0.000387933*L46^2-L46^3/38710000+$B$7,360)</f>
        <v>158.998533291742</v>
      </c>
      <c r="N46" s="30" t="n">
        <f aca="false">0.606433+1336.855225*L46 - INT(0.606433+1336.855225*L46)</f>
        <v>0.325030957221088</v>
      </c>
      <c r="O46" s="35" t="n">
        <f aca="false">22640*SIN(P46)-4586*SIN(P46-2*R46)+2370*SIN(2*R46)+769*SIN(2*P46)-668*SIN(Q46)-412*SIN(2*S46)-212*SIN(2*P46-2*R46)-206*SIN(P46+Q46-2*R46)+192*SIN(P46+2*R46)-165*SIN(Q46-2*R46)-125*SIN(R46)-110*SIN(P46+Q46)+148*SIN(P46-Q46)-55*SIN(2*S46-2*R46)</f>
        <v>-9996.09200064087</v>
      </c>
      <c r="P46" s="32" t="n">
        <f aca="false">2*PI()*(0.374897+1325.55241*L46 - INT(0.374897+1325.55241*L46))</f>
        <v>3.72756045448679</v>
      </c>
      <c r="Q46" s="36" t="n">
        <f aca="false">2*PI()*(0.993133+99.997361*L46 - INT(0.993133+99.997361*L46))</f>
        <v>0.710092148917665</v>
      </c>
      <c r="R46" s="36" t="n">
        <f aca="false">2*PI()*(0.827361+1236.853086*L46 - INT(0.827361+1236.853086*L46))</f>
        <v>2.67048171784547</v>
      </c>
      <c r="S46" s="36" t="n">
        <f aca="false">2*PI()*(0.259086+1342.227825*L46 - INT(0.259086+1342.227825*L46))</f>
        <v>1.04381353123477</v>
      </c>
      <c r="T46" s="36" t="n">
        <f aca="false">S46+(O46+412*SIN(2*S46)+541*SIN(Q46))/206264.8062</f>
        <v>0.99879749676562</v>
      </c>
      <c r="U46" s="36" t="n">
        <f aca="false">S46-2*R46</f>
        <v>-4.29714990445616</v>
      </c>
      <c r="V46" s="34" t="n">
        <f aca="false">-526*SIN(U46)+44*SIN(P46+U46)-31*SIN(-P46+U46)-23*SIN(Q46+U46)+11*SIN(-Q46+U46)-25*SIN(-2*P46+S46)+21*SIN(-P46+S46)</f>
        <v>-479.952718328451</v>
      </c>
      <c r="W46" s="36" t="n">
        <f aca="false">2*PI()*(N46+O46/1296000-INT(N46+O46/1296000))</f>
        <v>1.99376731319465</v>
      </c>
      <c r="X46" s="35" t="n">
        <f aca="false">W46*180/PI()</f>
        <v>114.234452377191</v>
      </c>
      <c r="Y46" s="36" t="n">
        <f aca="false">(18520*SIN(T46)+V46)/206264.8062</f>
        <v>0.0731683034400081</v>
      </c>
      <c r="Z46" s="36" t="n">
        <f aca="false">Y46*180/PI()</f>
        <v>4.192234981245</v>
      </c>
      <c r="AA46" s="36" t="n">
        <f aca="false">COS(Y46)*COS(W46)</f>
        <v>-0.409373164355746</v>
      </c>
      <c r="AB46" s="36" t="n">
        <f aca="false">COS(Y46)*SIN(W46)</f>
        <v>0.909433647134321</v>
      </c>
      <c r="AC46" s="36" t="n">
        <f aca="false">SIN(Y46)</f>
        <v>0.0731030352675665</v>
      </c>
      <c r="AD46" s="36" t="n">
        <f aca="false">COS($A$10*(23.4393-46.815*L46/3600))*AB46-SIN($A$10*(23.4393-46.815*L46/3600))*AC46</f>
        <v>0.805331802290199</v>
      </c>
      <c r="AE46" s="36" t="n">
        <f aca="false">SIN($A$10*(23.4393-46.815*L46/3600))*AB46+COS($A$10*(23.4393-46.815*L46/3600))*AC46</f>
        <v>0.42878234633131</v>
      </c>
      <c r="AF46" s="36" t="n">
        <f aca="false">SQRT(1-AE46*AE46)</f>
        <v>0.903407825666026</v>
      </c>
      <c r="AG46" s="35" t="n">
        <f aca="false">ATAN(AE46/AF46)/$A$10</f>
        <v>25.3903095749808</v>
      </c>
      <c r="AH46" s="36" t="n">
        <f aca="false">IF(24*ATAN(AD46/(AA46+AF46))/PI()&gt;0,24*ATAN(AD46/(AA46+AF46))/PI(),24*ATAN(AD46/(AA46+AF46))/PI()+24)</f>
        <v>7.79636877353311</v>
      </c>
      <c r="AI46" s="63" t="n">
        <f aca="false">IF(M46-15*AH46&gt;0,M46-15*AH46,360+M46-15*AH46)</f>
        <v>42.0530016887456</v>
      </c>
      <c r="AJ46" s="32" t="n">
        <f aca="false">0.950724+0.051818*COS(P46)+0.009531*COS(2*R46-P46)+0.007843*COS(2*R46)+0.002824*COS(2*P46)+0.000857*COS(2*R46+P46)+0.000533*COS(2*R46-Q46)*(1-0.002495*(J46-2415020)/36525)+0.000401*COS(2*R46-Q46-P46)*(1-0.002495*(J46-2415020)/36525)+0.00032*COS(P46-Q46)*(1-0.002495*(J46-2415020)/36525)-0.000271*COS(R46)</f>
        <v>0.912178753976786</v>
      </c>
      <c r="AK46" s="36" t="n">
        <f aca="false">ASIN(COS($A$10*$B$5)*COS($A$10*AG46)*COS($A$10*AI46)+SIN($A$10*$B$5)*SIN($A$10*AG46))/$A$10</f>
        <v>49.433390158557</v>
      </c>
      <c r="AL46" s="32" t="n">
        <f aca="false">ASIN((0.9983271+0.0016764*COS($A$10*2*$B$5))*COS($A$10*AK46)*SIN($A$10*AJ46))/$A$10</f>
        <v>0.592039135102793</v>
      </c>
      <c r="AM46" s="32" t="n">
        <f aca="false">AK46-AL46</f>
        <v>48.8413510234542</v>
      </c>
      <c r="AN46" s="35" t="n">
        <f aca="false"> MOD(280.4664567 + 360007.6982779*L46/10 + 0.03032028*L46^2/100 + L46^3/49931000,360)</f>
        <v>324.00431749475</v>
      </c>
      <c r="AO46" s="32" t="n">
        <f aca="false"> AN46 + (1.9146 - 0.004817*L46 - 0.000014*L46^2)*SIN(Q46)+ (0.019993 - 0.000101*L46)*SIN(2*Q46)+ 0.00029*SIN(3*Q46)</f>
        <v>325.271747509297</v>
      </c>
      <c r="AP46" s="32" t="n">
        <f aca="false">ACOS(COS(W46-$A$10*AO46)*COS(Y46))/$A$10</f>
        <v>148.708878528187</v>
      </c>
      <c r="AQ46" s="34" t="n">
        <f aca="false">180 - AP46 -0.1468*(1-0.0549*SIN(Q46))*SIN($A$10*AP46)/(1-0.0167*SIN($A$10*AO46))</f>
        <v>31.2182971417585</v>
      </c>
      <c r="AR46" s="64" t="n">
        <f aca="false">SIN($A$10*AI46)</f>
        <v>0.669817769041822</v>
      </c>
      <c r="AS46" s="64" t="n">
        <f aca="false">COS($A$10*AI46)*SIN($A$10*$B$5) - TAN($A$10*AG46)*COS($A$10*$B$5)</f>
        <v>0.263722770900219</v>
      </c>
      <c r="AT46" s="24" t="n">
        <f aca="false">IF(OR(AND(AR46*AS46&gt;0), AND(AR46&lt;0,AS46&gt;0)), MOD(ATAN2(AS46,AR46)/$A$10+360,360),  ATAN2(AS46,AR46)/$A$10)</f>
        <v>68.5092912120371</v>
      </c>
      <c r="AU46" s="39" t="n">
        <f aca="false"> 385000.56 + (-20905355*COS(P46) - 3699111*COS(2*R46-P46) - 2955968*COS(2*R46) - 569925*COS(2*P46) + (1-0.002516*L46)*48888*COS(Q46) - 3149*COS(2*S46)  +246158*COS(2*R46-2*P46) -(1 - 0.002516*L46)*152138*COS(2*R46-Q46-P46) -170733*COS(2*R46+P46) -(1 - 0.002516*L46)*204586*COS(2*R46-Q46) -(1 - 0.002516*L46)*129620*COS(Q46-P46)  + 108743*COS(R46) +(1-0.002516*L46)*104755*COS(Q46+P46) +10321*COS(2*R46-2*S46) +79661*COS(P46-2*S46) -34782*COS(4*R46-P46) -23210*COS(3*P46)  -21636*COS(4*R46-2*P46) +(1 - 0.002516*L46)*24208*COS(2*R46+Q46-P46) +(1 - 0.002516*L46)*30824*COS(2*R46+Q46) -8379*COS(R46-P46) -(1 - 0.002516*L46)*16675*COS(R46+Q46)  -(1 - 0.002516*L46)*12831*COS(2*R46-Q46+P46) -10445*COS(2*R46+2*P46) -11650*COS(4*R46) +14403*COS(2*R46-3*P46) -(1-0.002516*L46)*7003*COS(Q46-2*P46)  + (1 - 0.002516*L46)*10056*COS(2*R46-Q46-2*P46) +6322*COS(R46+P46) -(1 - 0.002516*L46)*(1-0.002516*L46)*9884*COS(2*R46-2*Q46) +(1-0.002516*L46)*5751*COS(Q46+2*P46) - (1-0.002516*L46)^2*4950*COS(2*R46-2*Q46-P46)  +4130*COS(2*R46+P46-2*S46) -(1-0.002516*L46)*3958*COS(4*R46-Q46-P46) +3258*COS(3*R46-P46) +(1 - 0.002516*L46)*2616*COS(2*R46+Q46+P46) -(1 - 0.002516*L46)*1897*COS(4*R46-Q46-2*P46)  -(1-0.002516*L46)^2*2117*COS(2*Q46-P46) +(1-0.002516*L46)^2*2354*COS(2*R46+2*Q46-P46) -1423*COS(4*R46+P46) -1117*COS(4*P46) -(1-0.002516*L46)*1571*COS(4*R46-Q46)  -1739*COS(R46-2*P46) -4421*COS(2*P46-2*S46) +(1-0.002516*L46)^2*1165*COS(2*Q46+P46) +8752*COS(2*R46-P46-2*S46))/1000</f>
        <v>400620.956058446</v>
      </c>
      <c r="AV46" s="54" t="n">
        <f aca="false">ATAN(0.99664719*TAN($A$10*input!$E$2))</f>
        <v>0.871010436227447</v>
      </c>
      <c r="AW46" s="54" t="n">
        <f aca="false">COS(AV46)</f>
        <v>0.644053912545845</v>
      </c>
      <c r="AX46" s="54" t="n">
        <f aca="false">0.99664719*SIN(AV46)</f>
        <v>0.762415269897027</v>
      </c>
      <c r="AY46" s="54" t="n">
        <f aca="false">6378.14/AU46</f>
        <v>0.0159206349631633</v>
      </c>
      <c r="AZ46" s="55" t="n">
        <f aca="false">M46-15*AH46</f>
        <v>42.0530016887456</v>
      </c>
      <c r="BA46" s="56" t="n">
        <f aca="false">COS($A$10*AG46)*SIN($A$10*AZ46)</f>
        <v>0.605118614322541</v>
      </c>
      <c r="BB46" s="56" t="n">
        <f aca="false">COS($A$10*AG46)*COS($A$10*AZ46)-AW46*AY46</f>
        <v>0.66054962341145</v>
      </c>
      <c r="BC46" s="56" t="n">
        <f aca="false">SIN($A$10*AG46)-AX46*AY46</f>
        <v>0.416644211128937</v>
      </c>
      <c r="BD46" s="57" t="n">
        <f aca="false">SQRT(BA46^2+BB46^2+BC46^2)</f>
        <v>0.987971022376616</v>
      </c>
      <c r="BE46" s="58" t="n">
        <f aca="false">AU46*BD46</f>
        <v>395801.89554256</v>
      </c>
    </row>
    <row r="47" customFormat="false" ht="15" hidden="false" customHeight="false" outlineLevel="0" collapsed="false">
      <c r="A47" s="22"/>
      <c r="D47" s="41" t="n">
        <f aca="false">K47-INT(275*E47/9)+IF($A$8="common year",2,1)*INT((E47+9)/12)+30</f>
        <v>15</v>
      </c>
      <c r="E47" s="41" t="n">
        <f aca="false">IF(K47&lt;32,1,INT(9*(IF($A$8="common year",2,1)+K47)/275+0.98))</f>
        <v>2</v>
      </c>
      <c r="F47" s="42" t="n">
        <f aca="false">AM47</f>
        <v>53.9653153178788</v>
      </c>
      <c r="G47" s="60" t="n">
        <f aca="false">F47+1.02/(TAN($A$10*(F47+10.3/(F47+5.11)))*60)</f>
        <v>53.9776033370159</v>
      </c>
      <c r="H47" s="43" t="n">
        <f aca="false">100*(1+COS($A$10*AQ47))/2</f>
        <v>96.9110162052891</v>
      </c>
      <c r="I47" s="43" t="n">
        <f aca="false">IF(AI47&gt;180,AT47-180,AT47+180)</f>
        <v>231.920628564857</v>
      </c>
      <c r="J47" s="61" t="n">
        <f aca="false">$J$2+K46</f>
        <v>2459625.5</v>
      </c>
      <c r="K47" s="21" t="n">
        <v>46</v>
      </c>
      <c r="L47" s="62" t="n">
        <f aca="false">(J47-2451545)/36525</f>
        <v>0.221232032854209</v>
      </c>
      <c r="M47" s="63" t="n">
        <f aca="false">MOD(280.46061837+360.98564736629*(J47-2451545)+0.000387933*L47^2-L47^3/38710000+$B$7,360)</f>
        <v>159.984180662781</v>
      </c>
      <c r="N47" s="30" t="n">
        <f aca="false">0.606433+1336.855225*L47 - INT(0.606433+1336.855225*L47)</f>
        <v>0.361632058521536</v>
      </c>
      <c r="O47" s="35" t="n">
        <f aca="false">22640*SIN(P47)-4586*SIN(P47-2*R47)+2370*SIN(2*R47)+769*SIN(2*P47)-668*SIN(Q47)-412*SIN(2*S47)-212*SIN(2*P47-2*R47)-206*SIN(P47+Q47-2*R47)+192*SIN(P47+2*R47)-165*SIN(Q47-2*R47)-125*SIN(R47)-110*SIN(P47+Q47)+148*SIN(P47-Q47)-55*SIN(2*S47-2*R47)</f>
        <v>-13230.2502559437</v>
      </c>
      <c r="P47" s="32" t="n">
        <f aca="false">2*PI()*(0.374897+1325.55241*L47 - INT(0.374897+1325.55241*L47))</f>
        <v>3.95558759826261</v>
      </c>
      <c r="Q47" s="36" t="n">
        <f aca="false">2*PI()*(0.993133+99.997361*L47 - INT(0.993133+99.997361*L47))</f>
        <v>0.72729411878465</v>
      </c>
      <c r="R47" s="36" t="n">
        <f aca="false">2*PI()*(0.827361+1236.853086*L47 - INT(0.827361+1236.853086*L47))</f>
        <v>2.88325042796449</v>
      </c>
      <c r="S47" s="36" t="n">
        <f aca="false">2*PI()*(0.259086+1342.227825*L47 - INT(0.259086+1342.227825*L47))</f>
        <v>1.27470925057578</v>
      </c>
      <c r="T47" s="36" t="n">
        <f aca="false">S47+(O47+412*SIN(2*S47)+541*SIN(Q47))/206264.8062</f>
        <v>1.2134258854296</v>
      </c>
      <c r="U47" s="36" t="n">
        <f aca="false">S47-2*R47</f>
        <v>-4.49179160535321</v>
      </c>
      <c r="V47" s="34" t="n">
        <f aca="false">-526*SIN(U47)+44*SIN(P47+U47)-31*SIN(-P47+U47)-23*SIN(Q47+U47)+11*SIN(-Q47+U47)-25*SIN(-2*P47+S47)+21*SIN(-P47+S47)</f>
        <v>-514.518703630883</v>
      </c>
      <c r="W47" s="36" t="n">
        <f aca="false">2*PI()*(N47+O47/1296000-INT(N47+O47/1296000))</f>
        <v>2.20805917342178</v>
      </c>
      <c r="X47" s="35" t="n">
        <f aca="false">W47*180/PI()</f>
        <v>126.512471552213</v>
      </c>
      <c r="Y47" s="36" t="n">
        <f aca="false">(18520*SIN(T47)+V47)/206264.8062</f>
        <v>0.0816202549998454</v>
      </c>
      <c r="Z47" s="36" t="n">
        <f aca="false">Y47*180/PI()</f>
        <v>4.6764961342727</v>
      </c>
      <c r="AA47" s="36" t="n">
        <f aca="false">COS(Y47)*COS(W47)</f>
        <v>-0.593016950275118</v>
      </c>
      <c r="AB47" s="36" t="n">
        <f aca="false">COS(Y47)*SIN(W47)</f>
        <v>0.801051690599571</v>
      </c>
      <c r="AC47" s="36" t="n">
        <f aca="false">SIN(Y47)</f>
        <v>0.0815296613139549</v>
      </c>
      <c r="AD47" s="36" t="n">
        <f aca="false">COS($A$10*(23.4393-46.815*L47/3600))*AB47-SIN($A$10*(23.4393-46.815*L47/3600))*AC47</f>
        <v>0.702539613725287</v>
      </c>
      <c r="AE47" s="36" t="n">
        <f aca="false">SIN($A$10*(23.4393-46.815*L47/3600))*AB47+COS($A$10*(23.4393-46.815*L47/3600))*AC47</f>
        <v>0.393406898558126</v>
      </c>
      <c r="AF47" s="36" t="n">
        <f aca="false">SQRT(1-AE47*AE47)</f>
        <v>0.919364461009276</v>
      </c>
      <c r="AG47" s="35" t="n">
        <f aca="false">ATAN(AE47/AF47)/$A$10</f>
        <v>23.1666533841297</v>
      </c>
      <c r="AH47" s="36" t="n">
        <f aca="false">IF(24*ATAN(AD47/(AA47+AF47))/PI()&gt;0,24*ATAN(AD47/(AA47+AF47))/PI(),24*ATAN(AD47/(AA47+AF47))/PI()+24)</f>
        <v>8.67785780409653</v>
      </c>
      <c r="AI47" s="63" t="n">
        <f aca="false">IF(M47-15*AH47&gt;0,M47-15*AH47,360+M47-15*AH47)</f>
        <v>29.816313601333</v>
      </c>
      <c r="AJ47" s="32" t="n">
        <f aca="false">0.950724+0.051818*COS(P47)+0.009531*COS(2*R47-P47)+0.007843*COS(2*R47)+0.002824*COS(2*P47)+0.000857*COS(2*R47+P47)+0.000533*COS(2*R47-Q47)*(1-0.002495*(J47-2415020)/36525)+0.000401*COS(2*R47-Q47-P47)*(1-0.002495*(J47-2415020)/36525)+0.00032*COS(P47-Q47)*(1-0.002495*(J47-2415020)/36525)-0.000271*COS(R47)</f>
        <v>0.91901944217132</v>
      </c>
      <c r="AK47" s="36" t="n">
        <f aca="false">ASIN(COS($A$10*$B$5)*COS($A$10*AG47)*COS($A$10*AI47)+SIN($A$10*$B$5)*SIN($A$10*AG47))/$A$10</f>
        <v>54.4979559512131</v>
      </c>
      <c r="AL47" s="32" t="n">
        <f aca="false">ASIN((0.9983271+0.0016764*COS($A$10*2*$B$5))*COS($A$10*AK47)*SIN($A$10*AJ47))/$A$10</f>
        <v>0.532640633334335</v>
      </c>
      <c r="AM47" s="32" t="n">
        <f aca="false">AK47-AL47</f>
        <v>53.9653153178788</v>
      </c>
      <c r="AN47" s="35" t="n">
        <f aca="false"> MOD(280.4664567 + 360007.6982779*L47/10 + 0.03032028*L47^2/100 + L47^3/49931000,360)</f>
        <v>324.989964858525</v>
      </c>
      <c r="AO47" s="32" t="n">
        <f aca="false"> AN47 + (1.9146 - 0.004817*L47 - 0.000014*L47^2)*SIN(Q47)+ (0.019993 - 0.000101*L47)*SIN(2*Q47)+ 0.00029*SIN(3*Q47)</f>
        <v>326.282252791232</v>
      </c>
      <c r="AP47" s="32" t="n">
        <f aca="false">ACOS(COS(W47-$A$10*AO47)*COS(Y47))/$A$10</f>
        <v>159.706192953593</v>
      </c>
      <c r="AQ47" s="34" t="n">
        <f aca="false">180 - AP47 -0.1468*(1-0.0549*SIN(Q47))*SIN($A$10*AP47)/(1-0.0167*SIN($A$10*AO47))</f>
        <v>20.2452007880012</v>
      </c>
      <c r="AR47" s="64" t="n">
        <f aca="false">SIN($A$10*AI47)</f>
        <v>0.497221016314819</v>
      </c>
      <c r="AS47" s="64" t="n">
        <f aca="false">COS($A$10*AI47)*SIN($A$10*$B$5) - TAN($A$10*AG47)*COS($A$10*$B$5)</f>
        <v>0.389582079036375</v>
      </c>
      <c r="AT47" s="24" t="n">
        <f aca="false">IF(OR(AND(AR47*AS47&gt;0), AND(AR47&lt;0,AS47&gt;0)), MOD(ATAN2(AS47,AR47)/$A$10+360,360),  ATAN2(AS47,AR47)/$A$10)</f>
        <v>51.9206285648565</v>
      </c>
      <c r="AU47" s="39" t="n">
        <f aca="false"> 385000.56 + (-20905355*COS(P47) - 3699111*COS(2*R47-P47) - 2955968*COS(2*R47) - 569925*COS(2*P47) + (1-0.002516*L47)*48888*COS(Q47) - 3149*COS(2*S47)  +246158*COS(2*R47-2*P47) -(1 - 0.002516*L47)*152138*COS(2*R47-Q47-P47) -170733*COS(2*R47+P47) -(1 - 0.002516*L47)*204586*COS(2*R47-Q47) -(1 - 0.002516*L47)*129620*COS(Q47-P47)  + 108743*COS(R47) +(1-0.002516*L47)*104755*COS(Q47+P47) +10321*COS(2*R47-2*S47) +79661*COS(P47-2*S47) -34782*COS(4*R47-P47) -23210*COS(3*P47)  -21636*COS(4*R47-2*P47) +(1 - 0.002516*L47)*24208*COS(2*R47+Q47-P47) +(1 - 0.002516*L47)*30824*COS(2*R47+Q47) -8379*COS(R47-P47) -(1 - 0.002516*L47)*16675*COS(R47+Q47)  -(1 - 0.002516*L47)*12831*COS(2*R47-Q47+P47) -10445*COS(2*R47+2*P47) -11650*COS(4*R47) +14403*COS(2*R47-3*P47) -(1-0.002516*L47)*7003*COS(Q47-2*P47)  + (1 - 0.002516*L47)*10056*COS(2*R47-Q47-2*P47) +6322*COS(R47+P47) -(1 - 0.002516*L47)*(1-0.002516*L47)*9884*COS(2*R47-2*Q47) +(1-0.002516*L47)*5751*COS(Q47+2*P47) - (1-0.002516*L47)^2*4950*COS(2*R47-2*Q47-P47)  +4130*COS(2*R47+P47-2*S47) -(1-0.002516*L47)*3958*COS(4*R47-Q47-P47) +3258*COS(3*R47-P47) +(1 - 0.002516*L47)*2616*COS(2*R47+Q47+P47) -(1 - 0.002516*L47)*1897*COS(4*R47-Q47-2*P47)  -(1-0.002516*L47)^2*2117*COS(2*Q47-P47) +(1-0.002516*L47)^2*2354*COS(2*R47+2*Q47-P47) -1423*COS(4*R47+P47) -1117*COS(4*P47) -(1-0.002516*L47)*1571*COS(4*R47-Q47)  -1739*COS(R47-2*P47) -4421*COS(2*P47-2*S47) +(1-0.002516*L47)^2*1165*COS(2*Q47+P47) +8752*COS(2*R47-P47-2*S47))/1000</f>
        <v>397672.406131795</v>
      </c>
      <c r="AV47" s="54" t="n">
        <f aca="false">ATAN(0.99664719*TAN($A$10*input!$E$2))</f>
        <v>0.871010436227447</v>
      </c>
      <c r="AW47" s="54" t="n">
        <f aca="false">COS(AV47)</f>
        <v>0.644053912545845</v>
      </c>
      <c r="AX47" s="54" t="n">
        <f aca="false">0.99664719*SIN(AV47)</f>
        <v>0.762415269897027</v>
      </c>
      <c r="AY47" s="54" t="n">
        <f aca="false">6378.14/AU47</f>
        <v>0.0160386788262251</v>
      </c>
      <c r="AZ47" s="55" t="n">
        <f aca="false">M47-15*AH47</f>
        <v>29.816313601333</v>
      </c>
      <c r="BA47" s="56" t="n">
        <f aca="false">COS($A$10*AG47)*SIN($A$10*AZ47)</f>
        <v>0.457127331666758</v>
      </c>
      <c r="BB47" s="56" t="n">
        <f aca="false">COS($A$10*AG47)*COS($A$10*AZ47)-AW47*AY47</f>
        <v>0.787332820741192</v>
      </c>
      <c r="BC47" s="56" t="n">
        <f aca="false">SIN($A$10*AG47)-AX47*AY47</f>
        <v>0.381178764912038</v>
      </c>
      <c r="BD47" s="57" t="n">
        <f aca="false">SQRT(BA47^2+BB47^2+BC47^2)</f>
        <v>0.98699322124973</v>
      </c>
      <c r="BE47" s="58" t="n">
        <f aca="false">AU47*BD47</f>
        <v>392499.969130151</v>
      </c>
    </row>
    <row r="48" customFormat="false" ht="15" hidden="false" customHeight="false" outlineLevel="0" collapsed="false">
      <c r="A48" s="22"/>
      <c r="D48" s="41" t="n">
        <f aca="false">K48-INT(275*E48/9)+IF($A$8="common year",2,1)*INT((E48+9)/12)+30</f>
        <v>16</v>
      </c>
      <c r="E48" s="41" t="n">
        <f aca="false">IF(K48&lt;32,1,INT(9*(IF($A$8="common year",2,1)+K48)/275+0.98))</f>
        <v>2</v>
      </c>
      <c r="F48" s="42" t="n">
        <f aca="false">AM48</f>
        <v>56.1228285179419</v>
      </c>
      <c r="G48" s="60" t="n">
        <f aca="false">F48+1.02/(TAN($A$10*(F48+10.3/(F48+5.11)))*60)</f>
        <v>56.1341699503574</v>
      </c>
      <c r="H48" s="43" t="n">
        <f aca="false">100*(1+COS($A$10*AQ48))/2</f>
        <v>99.2986226663623</v>
      </c>
      <c r="I48" s="43" t="n">
        <f aca="false">IF(AI48&gt;180,AT48-180,AT48+180)</f>
        <v>211.705488369908</v>
      </c>
      <c r="J48" s="61" t="n">
        <f aca="false">$J$2+K47</f>
        <v>2459626.5</v>
      </c>
      <c r="K48" s="21" t="n">
        <v>47</v>
      </c>
      <c r="L48" s="62" t="n">
        <f aca="false">(J48-2451545)/36525</f>
        <v>0.221259411362081</v>
      </c>
      <c r="M48" s="63" t="n">
        <f aca="false">MOD(280.46061837+360.98564736629*(J48-2451545)+0.000387933*L48^2-L48^3/38710000+$B$7,360)</f>
        <v>160.96982803382</v>
      </c>
      <c r="N48" s="30" t="n">
        <f aca="false">0.606433+1336.855225*L48 - INT(0.606433+1336.855225*L48)</f>
        <v>0.398233159822041</v>
      </c>
      <c r="O48" s="35" t="n">
        <f aca="false">22640*SIN(P48)-4586*SIN(P48-2*R48)+2370*SIN(2*R48)+769*SIN(2*P48)-668*SIN(Q48)-412*SIN(2*S48)-212*SIN(2*P48-2*R48)-206*SIN(P48+Q48-2*R48)+192*SIN(P48+2*R48)-165*SIN(Q48-2*R48)-125*SIN(R48)-110*SIN(P48+Q48)+148*SIN(P48-Q48)-55*SIN(2*S48-2*R48)</f>
        <v>-15646.6714401566</v>
      </c>
      <c r="P48" s="32" t="n">
        <f aca="false">2*PI()*(0.374897+1325.55241*L48 - INT(0.374897+1325.55241*L48))</f>
        <v>4.18361474203843</v>
      </c>
      <c r="Q48" s="36" t="n">
        <f aca="false">2*PI()*(0.993133+99.997361*L48 - INT(0.993133+99.997361*L48))</f>
        <v>0.744496088651657</v>
      </c>
      <c r="R48" s="36" t="n">
        <f aca="false">2*PI()*(0.827361+1236.853086*L48 - INT(0.827361+1236.853086*L48))</f>
        <v>3.09601913808352</v>
      </c>
      <c r="S48" s="36" t="n">
        <f aca="false">2*PI()*(0.259086+1342.227825*L48 - INT(0.259086+1342.227825*L48))</f>
        <v>1.50560496991678</v>
      </c>
      <c r="T48" s="36" t="n">
        <f aca="false">S48+(O48+412*SIN(2*S48)+541*SIN(Q48))/206264.8062</f>
        <v>1.43178470070013</v>
      </c>
      <c r="U48" s="36" t="n">
        <f aca="false">S48-2*R48</f>
        <v>-4.68643330625025</v>
      </c>
      <c r="V48" s="34" t="n">
        <f aca="false">-526*SIN(U48)+44*SIN(P48+U48)-31*SIN(-P48+U48)-23*SIN(Q48+U48)+11*SIN(-Q48+U48)-25*SIN(-2*P48+S48)+21*SIN(-P48+S48)</f>
        <v>-534.644772824487</v>
      </c>
      <c r="W48" s="36" t="n">
        <f aca="false">2*PI()*(N48+O48/1296000-INT(N48+O48/1296000))</f>
        <v>2.42631553484541</v>
      </c>
      <c r="X48" s="35" t="n">
        <f aca="false">W48*180/PI()</f>
        <v>139.017639913669</v>
      </c>
      <c r="Y48" s="36" t="n">
        <f aca="false">(18520*SIN(T48)+V48)/206264.8062</f>
        <v>0.0863293217100776</v>
      </c>
      <c r="Z48" s="36" t="n">
        <f aca="false">Y48*180/PI()</f>
        <v>4.94630578221456</v>
      </c>
      <c r="AA48" s="36" t="n">
        <f aca="false">COS(Y48)*COS(W48)</f>
        <v>-0.752100190891541</v>
      </c>
      <c r="AB48" s="36" t="n">
        <f aca="false">COS(Y48)*SIN(W48)</f>
        <v>0.653384302833314</v>
      </c>
      <c r="AC48" s="36" t="n">
        <f aca="false">SIN(Y48)</f>
        <v>0.0862221298271604</v>
      </c>
      <c r="AD48" s="36" t="n">
        <f aca="false">COS($A$10*(23.4393-46.815*L48/3600))*AB48-SIN($A$10*(23.4393-46.815*L48/3600))*AC48</f>
        <v>0.565188155025766</v>
      </c>
      <c r="AE48" s="36" t="n">
        <f aca="false">SIN($A$10*(23.4393-46.815*L48/3600))*AB48+COS($A$10*(23.4393-46.815*L48/3600))*AC48</f>
        <v>0.338980312524899</v>
      </c>
      <c r="AF48" s="36" t="n">
        <f aca="false">SQRT(1-AE48*AE48)</f>
        <v>0.94079346709069</v>
      </c>
      <c r="AG48" s="35" t="n">
        <f aca="false">ATAN(AE48/AF48)/$A$10</f>
        <v>19.8147613803337</v>
      </c>
      <c r="AH48" s="36" t="n">
        <f aca="false">IF(24*ATAN(AD48/(AA48+AF48))/PI()&gt;0,24*ATAN(AD48/(AA48+AF48))/PI(),24*ATAN(AD48/(AA48+AF48))/PI()+24)</f>
        <v>9.53839166860423</v>
      </c>
      <c r="AI48" s="63" t="n">
        <f aca="false">IF(M48-15*AH48&gt;0,M48-15*AH48,360+M48-15*AH48)</f>
        <v>17.8939530047563</v>
      </c>
      <c r="AJ48" s="32" t="n">
        <f aca="false">0.950724+0.051818*COS(P48)+0.009531*COS(2*R48-P48)+0.007843*COS(2*R48)+0.002824*COS(2*P48)+0.000857*COS(2*R48+P48)+0.000533*COS(2*R48-Q48)*(1-0.002495*(J48-2415020)/36525)+0.000401*COS(2*R48-Q48-P48)*(1-0.002495*(J48-2415020)/36525)+0.00032*COS(P48-Q48)*(1-0.002495*(J48-2415020)/36525)-0.000271*COS(R48)</f>
        <v>0.926912747742993</v>
      </c>
      <c r="AK48" s="36" t="n">
        <f aca="false">ASIN(COS($A$10*$B$5)*COS($A$10*AG48)*COS($A$10*AI48)+SIN($A$10*$B$5)*SIN($A$10*AG48))/$A$10</f>
        <v>56.6316320404743</v>
      </c>
      <c r="AL48" s="32" t="n">
        <f aca="false">ASIN((0.9983271+0.0016764*COS($A$10*2*$B$5))*COS($A$10*AK48)*SIN($A$10*AJ48))/$A$10</f>
        <v>0.508803522532402</v>
      </c>
      <c r="AM48" s="32" t="n">
        <f aca="false">AK48-AL48</f>
        <v>56.1228285179419</v>
      </c>
      <c r="AN48" s="35" t="n">
        <f aca="false"> MOD(280.4664567 + 360007.6982779*L48/10 + 0.03032028*L48^2/100 + L48^3/49931000,360)</f>
        <v>325.975612222304</v>
      </c>
      <c r="AO48" s="32" t="n">
        <f aca="false"> AN48 + (1.9146 - 0.004817*L48 - 0.000014*L48^2)*SIN(Q48)+ (0.019993 - 0.000101*L48)*SIN(2*Q48)+ 0.00029*SIN(3*Q48)</f>
        <v>327.292357512344</v>
      </c>
      <c r="AP48" s="32" t="n">
        <f aca="false">ACOS(COS(W48-$A$10*AO48)*COS(Y48))/$A$10</f>
        <v>170.368464712256</v>
      </c>
      <c r="AQ48" s="34" t="n">
        <f aca="false">180 - AP48 -0.1468*(1-0.0549*SIN(Q48))*SIN($A$10*AP48)/(1-0.0167*SIN($A$10*AO48))</f>
        <v>9.60809914667263</v>
      </c>
      <c r="AR48" s="64" t="n">
        <f aca="false">SIN($A$10*AI48)</f>
        <v>0.307256184836858</v>
      </c>
      <c r="AS48" s="64" t="n">
        <f aca="false">COS($A$10*AI48)*SIN($A$10*$B$5) - TAN($A$10*AG48)*COS($A$10*$B$5)</f>
        <v>0.497383584463391</v>
      </c>
      <c r="AT48" s="24" t="n">
        <f aca="false">IF(OR(AND(AR48*AS48&gt;0), AND(AR48&lt;0,AS48&gt;0)), MOD(ATAN2(AS48,AR48)/$A$10+360,360),  ATAN2(AS48,AR48)/$A$10)</f>
        <v>31.7054883699076</v>
      </c>
      <c r="AU48" s="39" t="n">
        <f aca="false"> 385000.56 + (-20905355*COS(P48) - 3699111*COS(2*R48-P48) - 2955968*COS(2*R48) - 569925*COS(2*P48) + (1-0.002516*L48)*48888*COS(Q48) - 3149*COS(2*S48)  +246158*COS(2*R48-2*P48) -(1 - 0.002516*L48)*152138*COS(2*R48-Q48-P48) -170733*COS(2*R48+P48) -(1 - 0.002516*L48)*204586*COS(2*R48-Q48) -(1 - 0.002516*L48)*129620*COS(Q48-P48)  + 108743*COS(R48) +(1-0.002516*L48)*104755*COS(Q48+P48) +10321*COS(2*R48-2*S48) +79661*COS(P48-2*S48) -34782*COS(4*R48-P48) -23210*COS(3*P48)  -21636*COS(4*R48-2*P48) +(1 - 0.002516*L48)*24208*COS(2*R48+Q48-P48) +(1 - 0.002516*L48)*30824*COS(2*R48+Q48) -8379*COS(R48-P48) -(1 - 0.002516*L48)*16675*COS(R48+Q48)  -(1 - 0.002516*L48)*12831*COS(2*R48-Q48+P48) -10445*COS(2*R48+2*P48) -11650*COS(4*R48) +14403*COS(2*R48-3*P48) -(1-0.002516*L48)*7003*COS(Q48-2*P48)  + (1 - 0.002516*L48)*10056*COS(2*R48-Q48-2*P48) +6322*COS(R48+P48) -(1 - 0.002516*L48)*(1-0.002516*L48)*9884*COS(2*R48-2*Q48) +(1-0.002516*L48)*5751*COS(Q48+2*P48) - (1-0.002516*L48)^2*4950*COS(2*R48-2*Q48-P48)  +4130*COS(2*R48+P48-2*S48) -(1-0.002516*L48)*3958*COS(4*R48-Q48-P48) +3258*COS(3*R48-P48) +(1 - 0.002516*L48)*2616*COS(2*R48+Q48+P48) -(1 - 0.002516*L48)*1897*COS(4*R48-Q48-2*P48)  -(1-0.002516*L48)^2*2117*COS(2*Q48-P48) +(1-0.002516*L48)^2*2354*COS(2*R48+2*Q48-P48) -1423*COS(4*R48+P48) -1117*COS(4*P48) -(1-0.002516*L48)*1571*COS(4*R48-Q48)  -1739*COS(R48-2*P48) -4421*COS(2*P48-2*S48) +(1-0.002516*L48)^2*1165*COS(2*Q48+P48) +8752*COS(2*R48-P48-2*S48))/1000</f>
        <v>394345.820954418</v>
      </c>
      <c r="AV48" s="54" t="n">
        <f aca="false">ATAN(0.99664719*TAN($A$10*input!$E$2))</f>
        <v>0.871010436227447</v>
      </c>
      <c r="AW48" s="54" t="n">
        <f aca="false">COS(AV48)</f>
        <v>0.644053912545845</v>
      </c>
      <c r="AX48" s="54" t="n">
        <f aca="false">0.99664719*SIN(AV48)</f>
        <v>0.762415269897027</v>
      </c>
      <c r="AY48" s="54" t="n">
        <f aca="false">6378.14/AU48</f>
        <v>0.0161739763960558</v>
      </c>
      <c r="AZ48" s="55" t="n">
        <f aca="false">M48-15*AH48</f>
        <v>17.8939530047563</v>
      </c>
      <c r="BA48" s="56" t="n">
        <f aca="false">COS($A$10*AG48)*SIN($A$10*AZ48)</f>
        <v>0.289064611417725</v>
      </c>
      <c r="BB48" s="56" t="n">
        <f aca="false">COS($A$10*AG48)*COS($A$10*AZ48)-AW48*AY48</f>
        <v>0.884867398569019</v>
      </c>
      <c r="BC48" s="56" t="n">
        <f aca="false">SIN($A$10*AG48)-AX48*AY48</f>
        <v>0.326649025945592</v>
      </c>
      <c r="BD48" s="57" t="n">
        <f aca="false">SQRT(BA48^2+BB48^2+BC48^2)</f>
        <v>0.986533450408849</v>
      </c>
      <c r="BE48" s="58" t="n">
        <f aca="false">AU48*BD48</f>
        <v>389035.343400472</v>
      </c>
    </row>
    <row r="49" customFormat="false" ht="15" hidden="false" customHeight="false" outlineLevel="0" collapsed="false">
      <c r="A49" s="22"/>
      <c r="D49" s="41" t="n">
        <f aca="false">K49-INT(275*E49/9)+IF($A$8="common year",2,1)*INT((E49+9)/12)+30</f>
        <v>17</v>
      </c>
      <c r="E49" s="41" t="n">
        <f aca="false">IF(K49&lt;32,1,INT(9*(IF($A$8="common year",2,1)+K49)/275+0.98))</f>
        <v>2</v>
      </c>
      <c r="F49" s="42" t="n">
        <f aca="false">AM49</f>
        <v>54.5756161036452</v>
      </c>
      <c r="G49" s="60" t="n">
        <f aca="false">F49+1.02/(TAN($A$10*(F49+10.3/(F49+5.11)))*60)</f>
        <v>54.5876313224306</v>
      </c>
      <c r="H49" s="43" t="n">
        <f aca="false">100*(1+COS($A$10*AQ49))/2</f>
        <v>99.7223829316467</v>
      </c>
      <c r="I49" s="43" t="n">
        <f aca="false">IF(AI49&gt;180,AT49-180,AT49+180)</f>
        <v>190.743329283111</v>
      </c>
      <c r="J49" s="61" t="n">
        <f aca="false">$J$2+K48</f>
        <v>2459627.5</v>
      </c>
      <c r="K49" s="21" t="n">
        <v>48</v>
      </c>
      <c r="L49" s="62" t="n">
        <f aca="false">(J49-2451545)/36525</f>
        <v>0.221286789869952</v>
      </c>
      <c r="M49" s="63" t="n">
        <f aca="false">MOD(280.46061837+360.98564736629*(J49-2451545)+0.000387933*L49^2-L49^3/38710000+$B$7,360)</f>
        <v>161.955475404859</v>
      </c>
      <c r="N49" s="30" t="n">
        <f aca="false">0.606433+1336.855225*L49 - INT(0.606433+1336.855225*L49)</f>
        <v>0.434834261122489</v>
      </c>
      <c r="O49" s="35" t="n">
        <f aca="false">22640*SIN(P49)-4586*SIN(P49-2*R49)+2370*SIN(2*R49)+769*SIN(2*P49)-668*SIN(Q49)-412*SIN(2*S49)-212*SIN(2*P49-2*R49)-206*SIN(P49+Q49-2*R49)+192*SIN(P49+2*R49)-165*SIN(Q49-2*R49)-125*SIN(R49)-110*SIN(P49+Q49)+148*SIN(P49-Q49)-55*SIN(2*S49-2*R49)</f>
        <v>-17225.6035465185</v>
      </c>
      <c r="P49" s="32" t="n">
        <f aca="false">2*PI()*(0.374897+1325.55241*L49 - INT(0.374897+1325.55241*L49))</f>
        <v>4.41164188581424</v>
      </c>
      <c r="Q49" s="36" t="n">
        <f aca="false">2*PI()*(0.993133+99.997361*L49 - INT(0.993133+99.997361*L49))</f>
        <v>0.761698058518642</v>
      </c>
      <c r="R49" s="36" t="n">
        <f aca="false">2*PI()*(0.827361+1236.853086*L49 - INT(0.827361+1236.853086*L49))</f>
        <v>3.30878784820218</v>
      </c>
      <c r="S49" s="36" t="n">
        <f aca="false">2*PI()*(0.259086+1342.227825*L49 - INT(0.259086+1342.227825*L49))</f>
        <v>1.73650068925779</v>
      </c>
      <c r="T49" s="36" t="n">
        <f aca="false">S49+(O49+412*SIN(2*S49)+541*SIN(Q49))/206264.8062</f>
        <v>1.6541488489321</v>
      </c>
      <c r="U49" s="36" t="n">
        <f aca="false">S49-2*R49</f>
        <v>-4.88107500714658</v>
      </c>
      <c r="V49" s="34" t="n">
        <f aca="false">-526*SIN(U49)+44*SIN(P49+U49)-31*SIN(-P49+U49)-23*SIN(Q49+U49)+11*SIN(-Q49+U49)-25*SIN(-2*P49+S49)+21*SIN(-P49+S49)</f>
        <v>-538.304703442626</v>
      </c>
      <c r="W49" s="36" t="n">
        <f aca="false">2*PI()*(N49+O49/1296000-INT(N49+O49/1296000))</f>
        <v>2.64863215789591</v>
      </c>
      <c r="X49" s="35" t="n">
        <f aca="false">W49*180/PI()</f>
        <v>151.755444130063</v>
      </c>
      <c r="Y49" s="36" t="n">
        <f aca="false">(18520*SIN(T49)+V49)/206264.8062</f>
        <v>0.0868659937314972</v>
      </c>
      <c r="Z49" s="36" t="n">
        <f aca="false">Y49*180/PI()</f>
        <v>4.97705482402466</v>
      </c>
      <c r="AA49" s="36" t="n">
        <f aca="false">COS(Y49)*COS(W49)</f>
        <v>-0.877614158852439</v>
      </c>
      <c r="AB49" s="36" t="n">
        <f aca="false">COS(Y49)*SIN(W49)</f>
        <v>0.471451638485571</v>
      </c>
      <c r="AC49" s="36" t="n">
        <f aca="false">SIN(Y49)</f>
        <v>0.0867567908062361</v>
      </c>
      <c r="AD49" s="36" t="n">
        <f aca="false">COS($A$10*(23.4393-46.815*L49/3600))*AB49-SIN($A$10*(23.4393-46.815*L49/3600))*AC49</f>
        <v>0.398051926485275</v>
      </c>
      <c r="AE49" s="36" t="n">
        <f aca="false">SIN($A$10*(23.4393-46.815*L49/3600))*AB49+COS($A$10*(23.4393-46.815*L49/3600))*AC49</f>
        <v>0.267110561384396</v>
      </c>
      <c r="AF49" s="36" t="n">
        <f aca="false">SQRT(1-AE49*AE49)</f>
        <v>0.963665890232145</v>
      </c>
      <c r="AG49" s="35" t="n">
        <f aca="false">ATAN(AE49/AF49)/$A$10</f>
        <v>15.4924005018407</v>
      </c>
      <c r="AH49" s="36" t="n">
        <f aca="false">IF(24*ATAN(AD49/(AA49+AF49))/PI()&gt;0,24*ATAN(AD49/(AA49+AF49))/PI(),24*ATAN(AD49/(AA49+AF49))/PI()+24)</f>
        <v>10.3735192766046</v>
      </c>
      <c r="AI49" s="63" t="n">
        <f aca="false">IF(M49-15*AH49&gt;0,M49-15*AH49,360+M49-15*AH49)</f>
        <v>6.35268625578905</v>
      </c>
      <c r="AJ49" s="32" t="n">
        <f aca="false">0.950724+0.051818*COS(P49)+0.009531*COS(2*R49-P49)+0.007843*COS(2*R49)+0.002824*COS(2*P49)+0.000857*COS(2*R49+P49)+0.000533*COS(2*R49-Q49)*(1-0.002495*(J49-2415020)/36525)+0.000401*COS(2*R49-Q49-P49)*(1-0.002495*(J49-2415020)/36525)+0.00032*COS(P49-Q49)*(1-0.002495*(J49-2415020)/36525)-0.000271*COS(R49)</f>
        <v>0.93535076504883</v>
      </c>
      <c r="AK49" s="36" t="n">
        <f aca="false">ASIN(COS($A$10*$B$5)*COS($A$10*AG49)*COS($A$10*AI49)+SIN($A$10*$B$5)*SIN($A$10*AG49))/$A$10</f>
        <v>55.1095781483153</v>
      </c>
      <c r="AL49" s="32" t="n">
        <f aca="false">ASIN((0.9983271+0.0016764*COS($A$10*2*$B$5))*COS($A$10*AK49)*SIN($A$10*AJ49))/$A$10</f>
        <v>0.533962044670069</v>
      </c>
      <c r="AM49" s="32" t="n">
        <f aca="false">AK49-AL49</f>
        <v>54.5756161036452</v>
      </c>
      <c r="AN49" s="35" t="n">
        <f aca="false"> MOD(280.4664567 + 360007.6982779*L49/10 + 0.03032028*L49^2/100 + L49^3/49931000,360)</f>
        <v>326.96125958608</v>
      </c>
      <c r="AO49" s="32" t="n">
        <f aca="false"> AN49 + (1.9146 - 0.004817*L49 - 0.000014*L49^2)*SIN(Q49)+ (0.019993 - 0.000101*L49)*SIN(2*Q49)+ 0.00029*SIN(3*Q49)</f>
        <v>328.30205439653</v>
      </c>
      <c r="AP49" s="32" t="n">
        <f aca="false">ACOS(COS(W49-$A$10*AO49)*COS(Y49))/$A$10</f>
        <v>173.944675352269</v>
      </c>
      <c r="AQ49" s="34" t="n">
        <f aca="false">180 - AP49 -0.1468*(1-0.0549*SIN(Q49))*SIN($A$10*AP49)/(1-0.0167*SIN($A$10*AO49))</f>
        <v>6.04055524695351</v>
      </c>
      <c r="AR49" s="64" t="n">
        <f aca="false">SIN($A$10*AI49)</f>
        <v>0.110648260007142</v>
      </c>
      <c r="AS49" s="64" t="n">
        <f aca="false">COS($A$10*AI49)*SIN($A$10*$B$5) - TAN($A$10*AG49)*COS($A$10*$B$5)</f>
        <v>0.583171675995843</v>
      </c>
      <c r="AT49" s="24" t="n">
        <f aca="false">IF(OR(AND(AR49*AS49&gt;0), AND(AR49&lt;0,AS49&gt;0)), MOD(ATAN2(AS49,AR49)/$A$10+360,360),  ATAN2(AS49,AR49)/$A$10)</f>
        <v>10.7433292831112</v>
      </c>
      <c r="AU49" s="39" t="n">
        <f aca="false"> 385000.56 + (-20905355*COS(P49) - 3699111*COS(2*R49-P49) - 2955968*COS(2*R49) - 569925*COS(2*P49) + (1-0.002516*L49)*48888*COS(Q49) - 3149*COS(2*S49)  +246158*COS(2*R49-2*P49) -(1 - 0.002516*L49)*152138*COS(2*R49-Q49-P49) -170733*COS(2*R49+P49) -(1 - 0.002516*L49)*204586*COS(2*R49-Q49) -(1 - 0.002516*L49)*129620*COS(Q49-P49)  + 108743*COS(R49) +(1-0.002516*L49)*104755*COS(Q49+P49) +10321*COS(2*R49-2*S49) +79661*COS(P49-2*S49) -34782*COS(4*R49-P49) -23210*COS(3*P49)  -21636*COS(4*R49-2*P49) +(1 - 0.002516*L49)*24208*COS(2*R49+Q49-P49) +(1 - 0.002516*L49)*30824*COS(2*R49+Q49) -8379*COS(R49-P49) -(1 - 0.002516*L49)*16675*COS(R49+Q49)  -(1 - 0.002516*L49)*12831*COS(2*R49-Q49+P49) -10445*COS(2*R49+2*P49) -11650*COS(4*R49) +14403*COS(2*R49-3*P49) -(1-0.002516*L49)*7003*COS(Q49-2*P49)  + (1 - 0.002516*L49)*10056*COS(2*R49-Q49-2*P49) +6322*COS(R49+P49) -(1 - 0.002516*L49)*(1-0.002516*L49)*9884*COS(2*R49-2*Q49) +(1-0.002516*L49)*5751*COS(Q49+2*P49) - (1-0.002516*L49)^2*4950*COS(2*R49-2*Q49-P49)  +4130*COS(2*R49+P49-2*S49) -(1-0.002516*L49)*3958*COS(4*R49-Q49-P49) +3258*COS(3*R49-P49) +(1 - 0.002516*L49)*2616*COS(2*R49+Q49+P49) -(1 - 0.002516*L49)*1897*COS(4*R49-Q49-2*P49)  -(1-0.002516*L49)^2*2117*COS(2*Q49-P49) +(1-0.002516*L49)^2*2354*COS(2*R49+2*Q49-P49) -1423*COS(4*R49+P49) -1117*COS(4*P49) -(1-0.002516*L49)*1571*COS(4*R49-Q49)  -1739*COS(R49-2*P49) -4421*COS(2*P49-2*S49) +(1-0.002516*L49)^2*1165*COS(2*Q49+P49) +8752*COS(2*R49-P49-2*S49))/1000</f>
        <v>390857.23618829</v>
      </c>
      <c r="AV49" s="54" t="n">
        <f aca="false">ATAN(0.99664719*TAN($A$10*input!$E$2))</f>
        <v>0.871010436227447</v>
      </c>
      <c r="AW49" s="54" t="n">
        <f aca="false">COS(AV49)</f>
        <v>0.644053912545845</v>
      </c>
      <c r="AX49" s="54" t="n">
        <f aca="false">0.99664719*SIN(AV49)</f>
        <v>0.762415269897027</v>
      </c>
      <c r="AY49" s="54" t="n">
        <f aca="false">6378.14/AU49</f>
        <v>0.0163183367466873</v>
      </c>
      <c r="AZ49" s="55" t="n">
        <f aca="false">M49-15*AH49</f>
        <v>6.35268625578905</v>
      </c>
      <c r="BA49" s="56" t="n">
        <f aca="false">COS($A$10*AG49)*SIN($A$10*AZ49)</f>
        <v>0.10662795398242</v>
      </c>
      <c r="BB49" s="56" t="n">
        <f aca="false">COS($A$10*AG49)*COS($A$10*AZ49)-AW49*AY49</f>
        <v>0.94723873571272</v>
      </c>
      <c r="BC49" s="56" t="n">
        <f aca="false">SIN($A$10*AG49)-AX49*AY49</f>
        <v>0.2546692122694</v>
      </c>
      <c r="BD49" s="57" t="n">
        <f aca="false">SQRT(BA49^2+BB49^2+BC49^2)</f>
        <v>0.986654524483127</v>
      </c>
      <c r="BE49" s="58" t="n">
        <f aca="false">AU49*BD49</f>
        <v>385641.060512147</v>
      </c>
    </row>
    <row r="50" customFormat="false" ht="15" hidden="false" customHeight="false" outlineLevel="0" collapsed="false">
      <c r="A50" s="22"/>
      <c r="D50" s="41" t="n">
        <f aca="false">K50-INT(275*E50/9)+IF($A$8="common year",2,1)*INT((E50+9)/12)+30</f>
        <v>18</v>
      </c>
      <c r="E50" s="41" t="n">
        <f aca="false">IF(K50&lt;32,1,INT(9*(IF($A$8="common year",2,1)+K50)/275+0.98))</f>
        <v>2</v>
      </c>
      <c r="F50" s="42" t="n">
        <f aca="false">AM50</f>
        <v>49.5948253049912</v>
      </c>
      <c r="G50" s="60" t="n">
        <f aca="false">F50+1.02/(TAN($A$10*(F50+10.3/(F50+5.11)))*60)</f>
        <v>49.6092000118778</v>
      </c>
      <c r="H50" s="43" t="n">
        <f aca="false">100*(1+COS($A$10*AQ50))/2</f>
        <v>98.0473157857863</v>
      </c>
      <c r="I50" s="43" t="n">
        <f aca="false">IF(AI50&gt;180,AT50-180,AT50+180)</f>
        <v>172.541755565837</v>
      </c>
      <c r="J50" s="61" t="n">
        <f aca="false">$J$2+K49</f>
        <v>2459628.5</v>
      </c>
      <c r="K50" s="21" t="n">
        <v>49</v>
      </c>
      <c r="L50" s="62" t="n">
        <f aca="false">(J50-2451545)/36525</f>
        <v>0.221314168377823</v>
      </c>
      <c r="M50" s="63" t="n">
        <f aca="false">MOD(280.46061837+360.98564736629*(J50-2451545)+0.000387933*L50^2-L50^3/38710000+$B$7,360)</f>
        <v>162.941122775432</v>
      </c>
      <c r="N50" s="30" t="n">
        <f aca="false">0.606433+1336.855225*L50 - INT(0.606433+1336.855225*L50)</f>
        <v>0.471435362422994</v>
      </c>
      <c r="O50" s="35" t="n">
        <f aca="false">22640*SIN(P50)-4586*SIN(P50-2*R50)+2370*SIN(2*R50)+769*SIN(2*P50)-668*SIN(Q50)-412*SIN(2*S50)-212*SIN(2*P50-2*R50)-206*SIN(P50+Q50-2*R50)+192*SIN(P50+2*R50)-165*SIN(Q50-2*R50)-125*SIN(R50)-110*SIN(P50+Q50)+148*SIN(P50-Q50)-55*SIN(2*S50-2*R50)</f>
        <v>-18003.9933552508</v>
      </c>
      <c r="P50" s="32" t="n">
        <f aca="false">2*PI()*(0.374897+1325.55241*L50 - INT(0.374897+1325.55241*L50))</f>
        <v>4.63966902958971</v>
      </c>
      <c r="Q50" s="36" t="n">
        <f aca="false">2*PI()*(0.993133+99.997361*L50 - INT(0.993133+99.997361*L50))</f>
        <v>0.778900028385649</v>
      </c>
      <c r="R50" s="36" t="n">
        <f aca="false">2*PI()*(0.827361+1236.853086*L50 - INT(0.827361+1236.853086*L50))</f>
        <v>3.52155655832121</v>
      </c>
      <c r="S50" s="36" t="n">
        <f aca="false">2*PI()*(0.259086+1342.227825*L50 - INT(0.259086+1342.227825*L50))</f>
        <v>1.96739640859879</v>
      </c>
      <c r="T50" s="36" t="n">
        <f aca="false">S50+(O50+412*SIN(2*S50)+541*SIN(Q50))/206264.8062</f>
        <v>1.88052974991602</v>
      </c>
      <c r="U50" s="36" t="n">
        <f aca="false">S50-2*R50</f>
        <v>-5.07571670804362</v>
      </c>
      <c r="V50" s="34" t="n">
        <f aca="false">-526*SIN(U50)+44*SIN(P50+U50)-31*SIN(-P50+U50)-23*SIN(Q50+U50)+11*SIN(-Q50+U50)-25*SIN(-2*P50+S50)+21*SIN(-P50+S50)</f>
        <v>-523.681343226618</v>
      </c>
      <c r="W50" s="36" t="n">
        <f aca="false">2*PI()*(N50+O50/1296000-INT(N50+O50/1296000))</f>
        <v>2.87482991952873</v>
      </c>
      <c r="X50" s="35" t="n">
        <f aca="false">W50*180/PI()</f>
        <v>164.715621206931</v>
      </c>
      <c r="Y50" s="36" t="n">
        <f aca="false">(18520*SIN(T50)+V50)/206264.8062</f>
        <v>0.0829760642899558</v>
      </c>
      <c r="Z50" s="36" t="n">
        <f aca="false">Y50*180/PI()</f>
        <v>4.75417828442065</v>
      </c>
      <c r="AA50" s="36" t="n">
        <f aca="false">COS(Y50)*COS(W50)</f>
        <v>-0.961310480607288</v>
      </c>
      <c r="AB50" s="36" t="n">
        <f aca="false">COS(Y50)*SIN(W50)</f>
        <v>0.262703101106859</v>
      </c>
      <c r="AC50" s="36" t="n">
        <f aca="false">SIN(Y50)</f>
        <v>0.0828808816520639</v>
      </c>
      <c r="AD50" s="36" t="n">
        <f aca="false">COS($A$10*(23.4393-46.815*L50/3600))*AB50-SIN($A$10*(23.4393-46.815*L50/3600))*AC50</f>
        <v>0.208066301859671</v>
      </c>
      <c r="AE50" s="36" t="n">
        <f aca="false">SIN($A$10*(23.4393-46.815*L50/3600))*AB50+COS($A$10*(23.4393-46.815*L50/3600))*AC50</f>
        <v>0.180528595809706</v>
      </c>
      <c r="AF50" s="36" t="n">
        <f aca="false">SQRT(1-AE50*AE50)</f>
        <v>0.983569736264275</v>
      </c>
      <c r="AG50" s="35" t="n">
        <f aca="false">ATAN(AE50/AF50)/$A$10</f>
        <v>10.4005505218956</v>
      </c>
      <c r="AH50" s="36" t="n">
        <f aca="false">IF(24*ATAN(AD50/(AA50+AF50))/PI()&gt;0,24*ATAN(AD50/(AA50+AF50))/PI(),24*ATAN(AD50/(AA50+AF50))/PI()+24)</f>
        <v>11.1858178488181</v>
      </c>
      <c r="AI50" s="63" t="n">
        <f aca="false">IF(M50-15*AH50&gt;0,M50-15*AH50,360+M50-15*AH50)</f>
        <v>355.15385504316</v>
      </c>
      <c r="AJ50" s="32" t="n">
        <f aca="false">0.950724+0.051818*COS(P50)+0.009531*COS(2*R50-P50)+0.007843*COS(2*R50)+0.002824*COS(2*P50)+0.000857*COS(2*R50+P50)+0.000533*COS(2*R50-Q50)*(1-0.002495*(J50-2415020)/36525)+0.000401*COS(2*R50-Q50-P50)*(1-0.002495*(J50-2415020)/36525)+0.00032*COS(P50-Q50)*(1-0.002495*(J50-2415020)/36525)-0.000271*COS(R50)</f>
        <v>0.943865103556808</v>
      </c>
      <c r="AK50" s="36" t="n">
        <f aca="false">ASIN(COS($A$10*$B$5)*COS($A$10*AG50)*COS($A$10*AI50)+SIN($A$10*$B$5)*SIN($A$10*AG50))/$A$10</f>
        <v>50.1978272092823</v>
      </c>
      <c r="AL50" s="32" t="n">
        <f aca="false">ASIN((0.9983271+0.0016764*COS($A$10*2*$B$5))*COS($A$10*AK50)*SIN($A$10*AJ50))/$A$10</f>
        <v>0.603001904291171</v>
      </c>
      <c r="AM50" s="32" t="n">
        <f aca="false">AK50-AL50</f>
        <v>49.5948253049912</v>
      </c>
      <c r="AN50" s="35" t="n">
        <f aca="false"> MOD(280.4664567 + 360007.6982779*L50/10 + 0.03032028*L50^2/100 + L50^3/49931000,360)</f>
        <v>327.946906949859</v>
      </c>
      <c r="AO50" s="32" t="n">
        <f aca="false"> AN50 + (1.9146 - 0.004817*L50 - 0.000014*L50^2)*SIN(Q50)+ (0.019993 - 0.000101*L50)*SIN(2*Q50)+ 0.00029*SIN(3*Q50)</f>
        <v>329.311336310728</v>
      </c>
      <c r="AP50" s="32" t="n">
        <f aca="false">ACOS(COS(W50-$A$10*AO50)*COS(Y50))/$A$10</f>
        <v>163.895754350865</v>
      </c>
      <c r="AQ50" s="34" t="n">
        <f aca="false">180 - AP50 -0.1468*(1-0.0549*SIN(Q50))*SIN($A$10*AP50)/(1-0.0167*SIN($A$10*AO50))</f>
        <v>16.0654267302995</v>
      </c>
      <c r="AR50" s="64" t="n">
        <f aca="false">SIN($A$10*AI50)</f>
        <v>-0.0844803729512095</v>
      </c>
      <c r="AS50" s="64" t="n">
        <f aca="false">COS($A$10*AI50)*SIN($A$10*$B$5) - TAN($A$10*AG50)*COS($A$10*$B$5)</f>
        <v>0.645325957276646</v>
      </c>
      <c r="AT50" s="24" t="n">
        <f aca="false">IF(OR(AND(AR50*AS50&gt;0), AND(AR50&lt;0,AS50&gt;0)), MOD(ATAN2(AS50,AR50)/$A$10+360,360),  ATAN2(AS50,AR50)/$A$10)</f>
        <v>352.541755565837</v>
      </c>
      <c r="AU50" s="39" t="n">
        <f aca="false"> 385000.56 + (-20905355*COS(P50) - 3699111*COS(2*R50-P50) - 2955968*COS(2*R50) - 569925*COS(2*P50) + (1-0.002516*L50)*48888*COS(Q50) - 3149*COS(2*S50)  +246158*COS(2*R50-2*P50) -(1 - 0.002516*L50)*152138*COS(2*R50-Q50-P50) -170733*COS(2*R50+P50) -(1 - 0.002516*L50)*204586*COS(2*R50-Q50) -(1 - 0.002516*L50)*129620*COS(Q50-P50)  + 108743*COS(R50) +(1-0.002516*L50)*104755*COS(Q50+P50) +10321*COS(2*R50-2*S50) +79661*COS(P50-2*S50) -34782*COS(4*R50-P50) -23210*COS(3*P50)  -21636*COS(4*R50-2*P50) +(1 - 0.002516*L50)*24208*COS(2*R50+Q50-P50) +(1 - 0.002516*L50)*30824*COS(2*R50+Q50) -8379*COS(R50-P50) -(1 - 0.002516*L50)*16675*COS(R50+Q50)  -(1 - 0.002516*L50)*12831*COS(2*R50-Q50+P50) -10445*COS(2*R50+2*P50) -11650*COS(4*R50) +14403*COS(2*R50-3*P50) -(1-0.002516*L50)*7003*COS(Q50-2*P50)  + (1 - 0.002516*L50)*10056*COS(2*R50-Q50-2*P50) +6322*COS(R50+P50) -(1 - 0.002516*L50)*(1-0.002516*L50)*9884*COS(2*R50-2*Q50) +(1-0.002516*L50)*5751*COS(Q50+2*P50) - (1-0.002516*L50)^2*4950*COS(2*R50-2*Q50-P50)  +4130*COS(2*R50+P50-2*S50) -(1-0.002516*L50)*3958*COS(4*R50-Q50-P50) +3258*COS(3*R50-P50) +(1 - 0.002516*L50)*2616*COS(2*R50+Q50+P50) -(1 - 0.002516*L50)*1897*COS(4*R50-Q50-2*P50)  -(1-0.002516*L50)^2*2117*COS(2*Q50-P50) +(1-0.002516*L50)^2*2354*COS(2*R50+2*Q50-P50) -1423*COS(4*R50+P50) -1117*COS(4*P50) -(1-0.002516*L50)*1571*COS(4*R50-Q50)  -1739*COS(R50-2*P50) -4421*COS(2*P50-2*S50) +(1-0.002516*L50)^2*1165*COS(2*Q50+P50) +8752*COS(2*R50-P50-2*S50))/1000</f>
        <v>387382.658140221</v>
      </c>
      <c r="AV50" s="54" t="n">
        <f aca="false">ATAN(0.99664719*TAN($A$10*input!$E$2))</f>
        <v>0.871010436227447</v>
      </c>
      <c r="AW50" s="54" t="n">
        <f aca="false">COS(AV50)</f>
        <v>0.644053912545845</v>
      </c>
      <c r="AX50" s="54" t="n">
        <f aca="false">0.99664719*SIN(AV50)</f>
        <v>0.762415269897027</v>
      </c>
      <c r="AY50" s="54" t="n">
        <f aca="false">6378.14/AU50</f>
        <v>0.0164647019322463</v>
      </c>
      <c r="AZ50" s="55" t="n">
        <f aca="false">M50-15*AH50</f>
        <v>-4.84614495684036</v>
      </c>
      <c r="BA50" s="56" t="n">
        <f aca="false">COS($A$10*AG50)*SIN($A$10*AZ50)</f>
        <v>-0.0830923381431298</v>
      </c>
      <c r="BB50" s="56" t="n">
        <f aca="false">COS($A$10*AG50)*COS($A$10*AZ50)-AW50*AY50</f>
        <v>0.969449459894621</v>
      </c>
      <c r="BC50" s="56" t="n">
        <f aca="false">SIN($A$10*AG50)-AX50*AY50</f>
        <v>0.167975655642259</v>
      </c>
      <c r="BD50" s="57" t="n">
        <f aca="false">SQRT(BA50^2+BB50^2+BC50^2)</f>
        <v>0.987396785915628</v>
      </c>
      <c r="BE50" s="58" t="n">
        <f aca="false">AU50*BD50</f>
        <v>382500.391567107</v>
      </c>
    </row>
    <row r="51" customFormat="false" ht="15" hidden="false" customHeight="false" outlineLevel="0" collapsed="false">
      <c r="A51" s="22"/>
      <c r="D51" s="41" t="n">
        <f aca="false">K51-INT(275*E51/9)+IF($A$8="common year",2,1)*INT((E51+9)/12)+30</f>
        <v>19</v>
      </c>
      <c r="E51" s="41" t="n">
        <f aca="false">IF(K51&lt;32,1,INT(9*(IF($A$8="common year",2,1)+K51)/275+0.98))</f>
        <v>2</v>
      </c>
      <c r="F51" s="42" t="n">
        <f aca="false">AM51</f>
        <v>42.1418544731685</v>
      </c>
      <c r="G51" s="60" t="n">
        <f aca="false">F51+1.02/(TAN($A$10*(F51+10.3/(F51+5.11)))*60)</f>
        <v>42.1604980785081</v>
      </c>
      <c r="H51" s="43" t="n">
        <f aca="false">100*(1+COS($A$10*AQ51))/2</f>
        <v>94.2306450250224</v>
      </c>
      <c r="I51" s="43" t="n">
        <f aca="false">IF(AI51&gt;180,AT51-180,AT51+180)</f>
        <v>158.239526611691</v>
      </c>
      <c r="J51" s="61" t="n">
        <f aca="false">$J$2+K50</f>
        <v>2459629.5</v>
      </c>
      <c r="K51" s="21" t="n">
        <v>50</v>
      </c>
      <c r="L51" s="62" t="n">
        <f aca="false">(J51-2451545)/36525</f>
        <v>0.221341546885695</v>
      </c>
      <c r="M51" s="63" t="n">
        <f aca="false">MOD(280.46061837+360.98564736629*(J51-2451545)+0.000387933*L51^2-L51^3/38710000+$B$7,360)</f>
        <v>163.926770146471</v>
      </c>
      <c r="N51" s="30" t="n">
        <f aca="false">0.606433+1336.855225*L51 - INT(0.606433+1336.855225*L51)</f>
        <v>0.508036463723499</v>
      </c>
      <c r="O51" s="35" t="n">
        <f aca="false">22640*SIN(P51)-4586*SIN(P51-2*R51)+2370*SIN(2*R51)+769*SIN(2*P51)-668*SIN(Q51)-412*SIN(2*S51)-212*SIN(2*P51-2*R51)-206*SIN(P51+Q51-2*R51)+192*SIN(P51+2*R51)-165*SIN(Q51-2*R51)-125*SIN(R51)-110*SIN(P51+Q51)+148*SIN(P51-Q51)-55*SIN(2*S51-2*R51)</f>
        <v>-18056.3312087029</v>
      </c>
      <c r="P51" s="32" t="n">
        <f aca="false">2*PI()*(0.374897+1325.55241*L51 - INT(0.374897+1325.55241*L51))</f>
        <v>4.86769617336552</v>
      </c>
      <c r="Q51" s="36" t="n">
        <f aca="false">2*PI()*(0.993133+99.997361*L51 - INT(0.993133+99.997361*L51))</f>
        <v>0.796101998252634</v>
      </c>
      <c r="R51" s="36" t="n">
        <f aca="false">2*PI()*(0.827361+1236.853086*L51 - INT(0.827361+1236.853086*L51))</f>
        <v>3.73432526844023</v>
      </c>
      <c r="S51" s="36" t="n">
        <f aca="false">2*PI()*(0.259086+1342.227825*L51 - INT(0.259086+1342.227825*L51))</f>
        <v>2.19829212793944</v>
      </c>
      <c r="T51" s="36" t="n">
        <f aca="false">S51+(O51+412*SIN(2*S51)+541*SIN(Q51))/206264.8062</f>
        <v>2.11072828545961</v>
      </c>
      <c r="U51" s="36" t="n">
        <f aca="false">S51-2*R51</f>
        <v>-5.27035840894103</v>
      </c>
      <c r="V51" s="34" t="n">
        <f aca="false">-526*SIN(U51)+44*SIN(P51+U51)-31*SIN(-P51+U51)-23*SIN(Q51+U51)+11*SIN(-Q51+U51)-25*SIN(-2*P51+S51)+21*SIN(-P51+S51)</f>
        <v>-489.530485802138</v>
      </c>
      <c r="W51" s="36" t="n">
        <f aca="false">2*PI()*(N51+O51/1296000-INT(N51+O51/1296000))</f>
        <v>3.10454768037272</v>
      </c>
      <c r="X51" s="35" t="n">
        <f aca="false">W51*180/PI()</f>
        <v>177.877479382487</v>
      </c>
      <c r="Y51" s="36" t="n">
        <f aca="false">(18520*SIN(T51)+V51)/206264.8062</f>
        <v>0.0746413429213201</v>
      </c>
      <c r="Z51" s="36" t="n">
        <f aca="false">Y51*180/PI()</f>
        <v>4.27663392658032</v>
      </c>
      <c r="AA51" s="36" t="n">
        <f aca="false">COS(Y51)*COS(W51)</f>
        <v>-0.996531451811555</v>
      </c>
      <c r="AB51" s="36" t="n">
        <f aca="false">COS(Y51)*SIN(W51)</f>
        <v>0.0369333774160004</v>
      </c>
      <c r="AC51" s="36" t="n">
        <f aca="false">SIN(Y51)</f>
        <v>0.074572053632726</v>
      </c>
      <c r="AD51" s="36" t="n">
        <f aca="false">COS($A$10*(23.4393-46.815*L51/3600))*AB51-SIN($A$10*(23.4393-46.815*L51/3600))*AC51</f>
        <v>0.00422681414330758</v>
      </c>
      <c r="AE51" s="36" t="n">
        <f aca="false">SIN($A$10*(23.4393-46.815*L51/3600))*AB51+COS($A$10*(23.4393-46.815*L51/3600))*AC51</f>
        <v>0.0831095637851193</v>
      </c>
      <c r="AF51" s="36" t="n">
        <f aca="false">SQRT(1-AE51*AE51)</f>
        <v>0.996540415842452</v>
      </c>
      <c r="AG51" s="35" t="n">
        <f aca="false">ATAN(AE51/AF51)/$A$10</f>
        <v>4.76732616643938</v>
      </c>
      <c r="AH51" s="36" t="n">
        <f aca="false">IF(24*ATAN(AD51/(AA51+AF51))/PI()&gt;0,24*ATAN(AD51/(AA51+AF51))/PI(),24*ATAN(AD51/(AA51+AF51))/PI()+24)</f>
        <v>11.983798660948</v>
      </c>
      <c r="AI51" s="63" t="n">
        <f aca="false">IF(M51-15*AH51&gt;0,M51-15*AH51,360+M51-15*AH51)</f>
        <v>344.169790232251</v>
      </c>
      <c r="AJ51" s="32" t="n">
        <f aca="false">0.950724+0.051818*COS(P51)+0.009531*COS(2*R51-P51)+0.007843*COS(2*R51)+0.002824*COS(2*P51)+0.000857*COS(2*R51+P51)+0.000533*COS(2*R51-Q51)*(1-0.002495*(J51-2415020)/36525)+0.000401*COS(2*R51-Q51-P51)*(1-0.002495*(J51-2415020)/36525)+0.00032*COS(P51-Q51)*(1-0.002495*(J51-2415020)/36525)-0.000271*COS(R51)</f>
        <v>0.952094119893804</v>
      </c>
      <c r="AK51" s="36" t="n">
        <f aca="false">ASIN(COS($A$10*$B$5)*COS($A$10*AG51)*COS($A$10*AI51)+SIN($A$10*$B$5)*SIN($A$10*AG51))/$A$10</f>
        <v>42.8386122066989</v>
      </c>
      <c r="AL51" s="32" t="n">
        <f aca="false">ASIN((0.9983271+0.0016764*COS($A$10*2*$B$5))*COS($A$10*AK51)*SIN($A$10*AJ51))/$A$10</f>
        <v>0.696757733530374</v>
      </c>
      <c r="AM51" s="32" t="n">
        <f aca="false">AK51-AL51</f>
        <v>42.1418544731685</v>
      </c>
      <c r="AN51" s="35" t="n">
        <f aca="false"> MOD(280.4664567 + 360007.6982779*L51/10 + 0.03032028*L51^2/100 + L51^3/49931000,360)</f>
        <v>328.932554313638</v>
      </c>
      <c r="AO51" s="32" t="n">
        <f aca="false"> AN51 + (1.9146 - 0.004817*L51 - 0.000014*L51^2)*SIN(Q51)+ (0.019993 - 0.000101*L51)*SIN(2*Q51)+ 0.00029*SIN(3*Q51)</f>
        <v>330.320196266992</v>
      </c>
      <c r="AP51" s="32" t="n">
        <f aca="false">ACOS(COS(W51-$A$10*AO51)*COS(Y51))/$A$10</f>
        <v>152.138549668679</v>
      </c>
      <c r="AQ51" s="34" t="n">
        <f aca="false">180 - AP51 -0.1468*(1-0.0549*SIN(Q51))*SIN($A$10*AP51)/(1-0.0167*SIN($A$10*AO51))</f>
        <v>27.7960777116825</v>
      </c>
      <c r="AR51" s="64" t="n">
        <f aca="false">SIN($A$10*AI51)</f>
        <v>-0.272787548145726</v>
      </c>
      <c r="AS51" s="64" t="n">
        <f aca="false">COS($A$10*AI51)*SIN($A$10*$B$5) - TAN($A$10*AG51)*COS($A$10*$B$5)</f>
        <v>0.683384412671296</v>
      </c>
      <c r="AT51" s="24" t="n">
        <f aca="false">IF(OR(AND(AR51*AS51&gt;0), AND(AR51&lt;0,AS51&gt;0)), MOD(ATAN2(AS51,AR51)/$A$10+360,360),  ATAN2(AS51,AR51)/$A$10)</f>
        <v>338.239526611692</v>
      </c>
      <c r="AU51" s="39" t="n">
        <f aca="false"> 385000.56 + (-20905355*COS(P51) - 3699111*COS(2*R51-P51) - 2955968*COS(2*R51) - 569925*COS(2*P51) + (1-0.002516*L51)*48888*COS(Q51) - 3149*COS(2*S51)  +246158*COS(2*R51-2*P51) -(1 - 0.002516*L51)*152138*COS(2*R51-Q51-P51) -170733*COS(2*R51+P51) -(1 - 0.002516*L51)*204586*COS(2*R51-Q51) -(1 - 0.002516*L51)*129620*COS(Q51-P51)  + 108743*COS(R51) +(1-0.002516*L51)*104755*COS(Q51+P51) +10321*COS(2*R51-2*S51) +79661*COS(P51-2*S51) -34782*COS(4*R51-P51) -23210*COS(3*P51)  -21636*COS(4*R51-2*P51) +(1 - 0.002516*L51)*24208*COS(2*R51+Q51-P51) +(1 - 0.002516*L51)*30824*COS(2*R51+Q51) -8379*COS(R51-P51) -(1 - 0.002516*L51)*16675*COS(R51+Q51)  -(1 - 0.002516*L51)*12831*COS(2*R51-Q51+P51) -10445*COS(2*R51+2*P51) -11650*COS(4*R51) +14403*COS(2*R51-3*P51) -(1-0.002516*L51)*7003*COS(Q51-2*P51)  + (1 - 0.002516*L51)*10056*COS(2*R51-Q51-2*P51) +6322*COS(R51+P51) -(1 - 0.002516*L51)*(1-0.002516*L51)*9884*COS(2*R51-2*Q51) +(1-0.002516*L51)*5751*COS(Q51+2*P51) - (1-0.002516*L51)^2*4950*COS(2*R51-2*Q51-P51)  +4130*COS(2*R51+P51-2*S51) -(1-0.002516*L51)*3958*COS(4*R51-Q51-P51) +3258*COS(3*R51-P51) +(1 - 0.002516*L51)*2616*COS(2*R51+Q51+P51) -(1 - 0.002516*L51)*1897*COS(4*R51-Q51-2*P51)  -(1-0.002516*L51)^2*2117*COS(2*Q51-P51) +(1-0.002516*L51)^2*2354*COS(2*R51+2*Q51-P51) -1423*COS(4*R51+P51) -1117*COS(4*P51) -(1-0.002516*L51)*1571*COS(4*R51-Q51)  -1739*COS(R51-2*P51) -4421*COS(2*P51-2*S51) +(1-0.002516*L51)^2*1165*COS(2*Q51+P51) +8752*COS(2*R51-P51-2*S51))/1000</f>
        <v>384045.500729688</v>
      </c>
      <c r="AV51" s="54" t="n">
        <f aca="false">ATAN(0.99664719*TAN($A$10*input!$E$2))</f>
        <v>0.871010436227447</v>
      </c>
      <c r="AW51" s="54" t="n">
        <f aca="false">COS(AV51)</f>
        <v>0.644053912545845</v>
      </c>
      <c r="AX51" s="54" t="n">
        <f aca="false">0.99664719*SIN(AV51)</f>
        <v>0.762415269897027</v>
      </c>
      <c r="AY51" s="54" t="n">
        <f aca="false">6378.14/AU51</f>
        <v>0.0166077717038255</v>
      </c>
      <c r="AZ51" s="55" t="n">
        <f aca="false">M51-15*AH51</f>
        <v>-15.8302097677493</v>
      </c>
      <c r="BA51" s="56" t="n">
        <f aca="false">COS($A$10*AG51)*SIN($A$10*AZ51)</f>
        <v>-0.271843816665786</v>
      </c>
      <c r="BB51" s="56" t="n">
        <f aca="false">COS($A$10*AG51)*COS($A$10*AZ51)-AW51*AY51</f>
        <v>0.948049619984757</v>
      </c>
      <c r="BC51" s="56" t="n">
        <f aca="false">SIN($A$10*AG51)-AX51*AY51</f>
        <v>0.070447545039159</v>
      </c>
      <c r="BD51" s="57" t="n">
        <f aca="false">SQRT(BA51^2+BB51^2+BC51^2)</f>
        <v>0.988766908434292</v>
      </c>
      <c r="BE51" s="58" t="n">
        <f aca="false">AU51*BD51</f>
        <v>379731.482454593</v>
      </c>
    </row>
    <row r="52" customFormat="false" ht="15" hidden="false" customHeight="false" outlineLevel="0" collapsed="false">
      <c r="D52" s="41" t="n">
        <f aca="false">K52-INT(275*E52/9)+IF($A$8="common year",2,1)*INT((E52+9)/12)+30</f>
        <v>20</v>
      </c>
      <c r="E52" s="41" t="n">
        <f aca="false">IF(K52&lt;32,1,INT(9*(IF($A$8="common year",2,1)+K52)/275+0.98))</f>
        <v>2</v>
      </c>
      <c r="F52" s="42" t="n">
        <f aca="false">AM52</f>
        <v>33.1325823536226</v>
      </c>
      <c r="G52" s="60" t="n">
        <f aca="false">F52+1.02/(TAN($A$10*(F52+10.3/(F52+5.11)))*60)</f>
        <v>33.1583623313418</v>
      </c>
      <c r="H52" s="43" t="n">
        <f aca="false">100*(1+COS($A$10*AQ52))/2</f>
        <v>88.3410647063783</v>
      </c>
      <c r="I52" s="43" t="n">
        <f aca="false">IF(AI52&gt;180,AT52-180,AT52+180)</f>
        <v>147.102477451481</v>
      </c>
      <c r="J52" s="61" t="n">
        <f aca="false">$J$2+K51</f>
        <v>2459630.5</v>
      </c>
      <c r="K52" s="21" t="n">
        <v>51</v>
      </c>
      <c r="L52" s="62" t="n">
        <f aca="false">(J52-2451545)/36525</f>
        <v>0.221368925393566</v>
      </c>
      <c r="M52" s="63" t="n">
        <f aca="false">MOD(280.46061837+360.98564736629*(J52-2451545)+0.000387933*L52^2-L52^3/38710000+$B$7,360)</f>
        <v>164.912417517509</v>
      </c>
      <c r="N52" s="30" t="n">
        <f aca="false">0.606433+1336.855225*L52 - INT(0.606433+1336.855225*L52)</f>
        <v>0.544637565023947</v>
      </c>
      <c r="O52" s="35" t="n">
        <f aca="false">22640*SIN(P52)-4586*SIN(P52-2*R52)+2370*SIN(2*R52)+769*SIN(2*P52)-668*SIN(Q52)-412*SIN(2*S52)-212*SIN(2*P52-2*R52)-206*SIN(P52+Q52-2*R52)+192*SIN(P52+2*R52)-165*SIN(Q52-2*R52)-125*SIN(R52)-110*SIN(P52+Q52)+148*SIN(P52-Q52)-55*SIN(2*S52-2*R52)</f>
        <v>-17468.3594505736</v>
      </c>
      <c r="P52" s="32" t="n">
        <f aca="false">2*PI()*(0.374897+1325.55241*L52 - INT(0.374897+1325.55241*L52))</f>
        <v>5.09572331714134</v>
      </c>
      <c r="Q52" s="36" t="n">
        <f aca="false">2*PI()*(0.993133+99.997361*L52 - INT(0.993133+99.997361*L52))</f>
        <v>0.813303968119642</v>
      </c>
      <c r="R52" s="36" t="n">
        <f aca="false">2*PI()*(0.827361+1236.853086*L52 - INT(0.827361+1236.853086*L52))</f>
        <v>3.94709397855926</v>
      </c>
      <c r="S52" s="36" t="n">
        <f aca="false">2*PI()*(0.259086+1342.227825*L52 - INT(0.259086+1342.227825*L52))</f>
        <v>2.42918784728044</v>
      </c>
      <c r="T52" s="36" t="n">
        <f aca="false">S52+(O52+412*SIN(2*S52)+541*SIN(Q52))/206264.8062</f>
        <v>2.34442832089619</v>
      </c>
      <c r="U52" s="36" t="n">
        <f aca="false">S52-2*R52</f>
        <v>-5.46500010983807</v>
      </c>
      <c r="V52" s="34" t="n">
        <f aca="false">-526*SIN(U52)+44*SIN(P52+U52)-31*SIN(-P52+U52)-23*SIN(Q52+U52)+11*SIN(-Q52+U52)-25*SIN(-2*P52+S52)+21*SIN(-P52+S52)</f>
        <v>-435.541384138678</v>
      </c>
      <c r="W52" s="36" t="n">
        <f aca="false">2*PI()*(N52+O52/1296000-INT(N52+O52/1296000))</f>
        <v>3.33736974981476</v>
      </c>
      <c r="X52" s="35" t="n">
        <f aca="false">W52*180/PI()</f>
        <v>191.217201339017</v>
      </c>
      <c r="Y52" s="36" t="n">
        <f aca="false">(18520*SIN(T52)+V52)/206264.8062</f>
        <v>0.0621203958718354</v>
      </c>
      <c r="Z52" s="36" t="n">
        <f aca="false">Y52*180/PI()</f>
        <v>3.55923650513807</v>
      </c>
      <c r="AA52" s="36" t="n">
        <f aca="false">COS(Y52)*COS(W52)</f>
        <v>-0.979004793948154</v>
      </c>
      <c r="AB52" s="36" t="n">
        <f aca="false">COS(Y52)*SIN(W52)</f>
        <v>-0.194153627586879</v>
      </c>
      <c r="AC52" s="36" t="n">
        <f aca="false">SIN(Y52)</f>
        <v>0.0620804503961413</v>
      </c>
      <c r="AD52" s="36" t="n">
        <f aca="false">COS($A$10*(23.4393-46.815*L52/3600))*AB52-SIN($A$10*(23.4393-46.815*L52/3600))*AC52</f>
        <v>-0.202827670732076</v>
      </c>
      <c r="AE52" s="36" t="n">
        <f aca="false">SIN($A$10*(23.4393-46.815*L52/3600))*AB52+COS($A$10*(23.4393-46.815*L52/3600))*AC52</f>
        <v>-0.0202620189500703</v>
      </c>
      <c r="AF52" s="36" t="n">
        <f aca="false">SQRT(1-AE52*AE52)</f>
        <v>0.999794704220855</v>
      </c>
      <c r="AG52" s="35" t="n">
        <f aca="false">ATAN(AE52/AF52)/$A$10</f>
        <v>-1.16100762132863</v>
      </c>
      <c r="AH52" s="36" t="n">
        <f aca="false">IF(24*ATAN(AD52/(AA52+AF52))/PI()&gt;0,24*ATAN(AD52/(AA52+AF52))/PI(),24*ATAN(AD52/(AA52+AF52))/PI()+24)</f>
        <v>12.7803199575739</v>
      </c>
      <c r="AI52" s="63" t="n">
        <f aca="false">IF(M52-15*AH52&gt;0,M52-15*AH52,360+M52-15*AH52)</f>
        <v>333.207618153901</v>
      </c>
      <c r="AJ52" s="32" t="n">
        <f aca="false">0.950724+0.051818*COS(P52)+0.009531*COS(2*R52-P52)+0.007843*COS(2*R52)+0.002824*COS(2*P52)+0.000857*COS(2*R52+P52)+0.000533*COS(2*R52-Q52)*(1-0.002495*(J52-2415020)/36525)+0.000401*COS(2*R52-Q52-P52)*(1-0.002495*(J52-2415020)/36525)+0.00032*COS(P52-Q52)*(1-0.002495*(J52-2415020)/36525)-0.000271*COS(R52)</f>
        <v>0.959826286276804</v>
      </c>
      <c r="AK52" s="36" t="n">
        <f aca="false">ASIN(COS($A$10*$B$5)*COS($A$10*AG52)*COS($A$10*AI52)+SIN($A$10*$B$5)*SIN($A$10*AG52))/$A$10</f>
        <v>33.9274178574589</v>
      </c>
      <c r="AL52" s="32" t="n">
        <f aca="false">ASIN((0.9983271+0.0016764*COS($A$10*2*$B$5))*COS($A$10*AK52)*SIN($A$10*AJ52))/$A$10</f>
        <v>0.794835503836254</v>
      </c>
      <c r="AM52" s="32" t="n">
        <f aca="false">AK52-AL52</f>
        <v>33.1325823536226</v>
      </c>
      <c r="AN52" s="35" t="n">
        <f aca="false"> MOD(280.4664567 + 360007.6982779*L52/10 + 0.03032028*L52^2/100 + L52^3/49931000,360)</f>
        <v>329.918201677416</v>
      </c>
      <c r="AO52" s="32" t="n">
        <f aca="false"> AN52 + (1.9146 - 0.004817*L52 - 0.000014*L52^2)*SIN(Q52)+ (0.019993 - 0.000101*L52)*SIN(2*Q52)+ 0.00029*SIN(3*Q52)</f>
        <v>331.328627424533</v>
      </c>
      <c r="AP52" s="32" t="n">
        <f aca="false">ACOS(COS(W52-$A$10*AO52)*COS(Y52))/$A$10</f>
        <v>139.979379936498</v>
      </c>
      <c r="AQ52" s="34" t="n">
        <f aca="false">180 - AP52 -0.1468*(1-0.0549*SIN(Q52))*SIN($A$10*AP52)/(1-0.0167*SIN($A$10*AO52))</f>
        <v>39.9307043338869</v>
      </c>
      <c r="AR52" s="64" t="n">
        <f aca="false">SIN($A$10*AI52)</f>
        <v>-0.45075885682606</v>
      </c>
      <c r="AS52" s="64" t="n">
        <f aca="false">COS($A$10*AI52)*SIN($A$10*$B$5) - TAN($A$10*AG52)*COS($A$10*$B$5)</f>
        <v>0.696833173270216</v>
      </c>
      <c r="AT52" s="24" t="n">
        <f aca="false">IF(OR(AND(AR52*AS52&gt;0), AND(AR52&lt;0,AS52&gt;0)), MOD(ATAN2(AS52,AR52)/$A$10+360,360),  ATAN2(AS52,AR52)/$A$10)</f>
        <v>327.102477451481</v>
      </c>
      <c r="AU52" s="39" t="n">
        <f aca="false"> 385000.56 + (-20905355*COS(P52) - 3699111*COS(2*R52-P52) - 2955968*COS(2*R52) - 569925*COS(2*P52) + (1-0.002516*L52)*48888*COS(Q52) - 3149*COS(2*S52)  +246158*COS(2*R52-2*P52) -(1 - 0.002516*L52)*152138*COS(2*R52-Q52-P52) -170733*COS(2*R52+P52) -(1 - 0.002516*L52)*204586*COS(2*R52-Q52) -(1 - 0.002516*L52)*129620*COS(Q52-P52)  + 108743*COS(R52) +(1-0.002516*L52)*104755*COS(Q52+P52) +10321*COS(2*R52-2*S52) +79661*COS(P52-2*S52) -34782*COS(4*R52-P52) -23210*COS(3*P52)  -21636*COS(4*R52-2*P52) +(1 - 0.002516*L52)*24208*COS(2*R52+Q52-P52) +(1 - 0.002516*L52)*30824*COS(2*R52+Q52) -8379*COS(R52-P52) -(1 - 0.002516*L52)*16675*COS(R52+Q52)  -(1 - 0.002516*L52)*12831*COS(2*R52-Q52+P52) -10445*COS(2*R52+2*P52) -11650*COS(4*R52) +14403*COS(2*R52-3*P52) -(1-0.002516*L52)*7003*COS(Q52-2*P52)  + (1 - 0.002516*L52)*10056*COS(2*R52-Q52-2*P52) +6322*COS(R52+P52) -(1 - 0.002516*L52)*(1-0.002516*L52)*9884*COS(2*R52-2*Q52) +(1-0.002516*L52)*5751*COS(Q52+2*P52) - (1-0.002516*L52)^2*4950*COS(2*R52-2*Q52-P52)  +4130*COS(2*R52+P52-2*S52) -(1-0.002516*L52)*3958*COS(4*R52-Q52-P52) +3258*COS(3*R52-P52) +(1 - 0.002516*L52)*2616*COS(2*R52+Q52+P52) -(1 - 0.002516*L52)*1897*COS(4*R52-Q52-2*P52)  -(1-0.002516*L52)^2*2117*COS(2*Q52-P52) +(1-0.002516*L52)^2*2354*COS(2*R52+2*Q52-P52) -1423*COS(4*R52+P52) -1117*COS(4*P52) -(1-0.002516*L52)*1571*COS(4*R52-Q52)  -1739*COS(R52-2*P52) -4421*COS(2*P52-2*S52) +(1-0.002516*L52)^2*1165*COS(2*Q52+P52) +8752*COS(2*R52-P52-2*S52))/1000</f>
        <v>380915.638308961</v>
      </c>
      <c r="AV52" s="54" t="n">
        <f aca="false">ATAN(0.99664719*TAN($A$10*input!$E$2))</f>
        <v>0.871010436227447</v>
      </c>
      <c r="AW52" s="54" t="n">
        <f aca="false">COS(AV52)</f>
        <v>0.644053912545845</v>
      </c>
      <c r="AX52" s="54" t="n">
        <f aca="false">0.99664719*SIN(AV52)</f>
        <v>0.762415269897027</v>
      </c>
      <c r="AY52" s="54" t="n">
        <f aca="false">6378.14/AU52</f>
        <v>0.016744232471828</v>
      </c>
      <c r="AZ52" s="55" t="n">
        <f aca="false">M52-15*AH52</f>
        <v>-26.7923818460987</v>
      </c>
      <c r="BA52" s="56" t="n">
        <f aca="false">COS($A$10*AG52)*SIN($A$10*AZ52)</f>
        <v>-0.450666317935343</v>
      </c>
      <c r="BB52" s="56" t="n">
        <f aca="false">COS($A$10*AG52)*COS($A$10*AZ52)-AW52*AY52</f>
        <v>0.881678315239401</v>
      </c>
      <c r="BC52" s="56" t="n">
        <f aca="false">SIN($A$10*AG52)-AX52*AY52</f>
        <v>-0.0330280774692976</v>
      </c>
      <c r="BD52" s="57" t="n">
        <f aca="false">SQRT(BA52^2+BB52^2+BC52^2)</f>
        <v>0.990730859308473</v>
      </c>
      <c r="BE52" s="58" t="n">
        <f aca="false">AU52*BD52</f>
        <v>377384.877665872</v>
      </c>
    </row>
    <row r="53" customFormat="false" ht="15" hidden="false" customHeight="false" outlineLevel="0" collapsed="false">
      <c r="D53" s="41" t="n">
        <f aca="false">K53-INT(275*E53/9)+IF($A$8="common year",2,1)*INT((E53+9)/12)+30</f>
        <v>21</v>
      </c>
      <c r="E53" s="41" t="n">
        <f aca="false">IF(K53&lt;32,1,INT(9*(IF($A$8="common year",2,1)+K53)/275+0.98))</f>
        <v>2</v>
      </c>
      <c r="F53" s="42" t="n">
        <f aca="false">AM53</f>
        <v>23.1898565481604</v>
      </c>
      <c r="G53" s="60" t="n">
        <f aca="false">F53+1.02/(TAN($A$10*(F53+10.3/(F53+5.11)))*60)</f>
        <v>23.2288536637268</v>
      </c>
      <c r="H53" s="43" t="n">
        <f aca="false">100*(1+COS($A$10*AQ53))/2</f>
        <v>80.5663540748102</v>
      </c>
      <c r="I53" s="43" t="n">
        <f aca="false">IF(AI53&gt;180,AT53-180,AT53+180)</f>
        <v>138.039183426894</v>
      </c>
      <c r="J53" s="61" t="n">
        <f aca="false">$J$2+K52</f>
        <v>2459631.5</v>
      </c>
      <c r="K53" s="21" t="n">
        <v>52</v>
      </c>
      <c r="L53" s="62" t="n">
        <f aca="false">(J53-2451545)/36525</f>
        <v>0.221396303901437</v>
      </c>
      <c r="M53" s="63" t="n">
        <f aca="false">MOD(280.46061837+360.98564736629*(J53-2451545)+0.000387933*L53^2-L53^3/38710000+$B$7,360)</f>
        <v>165.898064889014</v>
      </c>
      <c r="N53" s="30" t="n">
        <f aca="false">0.606433+1336.855225*L53 - INT(0.606433+1336.855225*L53)</f>
        <v>0.581238666324396</v>
      </c>
      <c r="O53" s="35" t="n">
        <f aca="false">22640*SIN(P53)-4586*SIN(P53-2*R53)+2370*SIN(2*R53)+769*SIN(2*P53)-668*SIN(Q53)-412*SIN(2*S53)-212*SIN(2*P53-2*R53)-206*SIN(P53+Q53-2*R53)+192*SIN(P53+2*R53)-165*SIN(Q53-2*R53)-125*SIN(R53)-110*SIN(P53+Q53)+148*SIN(P53-Q53)-55*SIN(2*S53-2*R53)</f>
        <v>-16310.3597235271</v>
      </c>
      <c r="P53" s="32" t="n">
        <f aca="false">2*PI()*(0.374897+1325.55241*L53 - INT(0.374897+1325.55241*L53))</f>
        <v>5.3237504609168</v>
      </c>
      <c r="Q53" s="36" t="n">
        <f aca="false">2*PI()*(0.993133+99.997361*L53 - INT(0.993133+99.997361*L53))</f>
        <v>0.830505937986604</v>
      </c>
      <c r="R53" s="36" t="n">
        <f aca="false">2*PI()*(0.827361+1236.853086*L53 - INT(0.827361+1236.853086*L53))</f>
        <v>4.15986268867792</v>
      </c>
      <c r="S53" s="36" t="n">
        <f aca="false">2*PI()*(0.259086+1342.227825*L53 - INT(0.259086+1342.227825*L53))</f>
        <v>2.66008356662109</v>
      </c>
      <c r="T53" s="36" t="n">
        <f aca="false">S53+(O53+412*SIN(2*S53)+541*SIN(Q53))/206264.8062</f>
        <v>2.58130535412248</v>
      </c>
      <c r="U53" s="36" t="n">
        <f aca="false">S53-2*R53</f>
        <v>-5.65964181073476</v>
      </c>
      <c r="V53" s="34" t="n">
        <f aca="false">-526*SIN(U53)+44*SIN(P53+U53)-31*SIN(-P53+U53)-23*SIN(Q53+U53)+11*SIN(-Q53+U53)-25*SIN(-2*P53+S53)+21*SIN(-P53+S53)</f>
        <v>-362.624863213116</v>
      </c>
      <c r="W53" s="36" t="n">
        <f aca="false">2*PI()*(N53+O53/1296000-INT(N53+O53/1296000))</f>
        <v>3.57295539283626</v>
      </c>
      <c r="X53" s="35" t="n">
        <f aca="false">W53*180/PI()</f>
        <v>204.715264398025</v>
      </c>
      <c r="Y53" s="36" t="n">
        <f aca="false">(18520*SIN(T53)+V53)/206264.8062</f>
        <v>0.0459576762226416</v>
      </c>
      <c r="Z53" s="36" t="n">
        <f aca="false">Y53*180/PI()</f>
        <v>2.6331808837861</v>
      </c>
      <c r="AA53" s="36" t="n">
        <f aca="false">COS(Y53)*COS(W53)</f>
        <v>-0.907437672386179</v>
      </c>
      <c r="AB53" s="36" t="n">
        <f aca="false">COS(Y53)*SIN(W53)</f>
        <v>-0.417667630194087</v>
      </c>
      <c r="AC53" s="36" t="n">
        <f aca="false">SIN(Y53)</f>
        <v>0.0459415000017349</v>
      </c>
      <c r="AD53" s="36" t="n">
        <f aca="false">COS($A$10*(23.4393-46.815*L53/3600))*AB53-SIN($A$10*(23.4393-46.815*L53/3600))*AC53</f>
        <v>-0.401483248401396</v>
      </c>
      <c r="AE53" s="36" t="n">
        <f aca="false">SIN($A$10*(23.4393-46.815*L53/3600))*AB53+COS($A$10*(23.4393-46.815*L53/3600))*AC53</f>
        <v>-0.123968028085541</v>
      </c>
      <c r="AF53" s="36" t="n">
        <f aca="false">SQRT(1-AE53*AE53)</f>
        <v>0.992286212749418</v>
      </c>
      <c r="AG53" s="35" t="n">
        <f aca="false">ATAN(AE53/AF53)/$A$10</f>
        <v>-7.121164620308</v>
      </c>
      <c r="AH53" s="36" t="n">
        <f aca="false">IF(24*ATAN(AD53/(AA53+AF53))/PI()&gt;0,24*ATAN(AD53/(AA53+AF53))/PI(),24*ATAN(AD53/(AA53+AF53))/PI()+24)</f>
        <v>13.5910887768262</v>
      </c>
      <c r="AI53" s="63" t="n">
        <f aca="false">IF(M53-15*AH53&gt;0,M53-15*AH53,360+M53-15*AH53)</f>
        <v>322.031733236621</v>
      </c>
      <c r="AJ53" s="32" t="n">
        <f aca="false">0.950724+0.051818*COS(P53)+0.009531*COS(2*R53-P53)+0.007843*COS(2*R53)+0.002824*COS(2*P53)+0.000857*COS(2*R53+P53)+0.000533*COS(2*R53-Q53)*(1-0.002495*(J53-2415020)/36525)+0.000401*COS(2*R53-Q53-P53)*(1-0.002495*(J53-2415020)/36525)+0.00032*COS(P53-Q53)*(1-0.002495*(J53-2415020)/36525)-0.000271*COS(R53)</f>
        <v>0.966995669547612</v>
      </c>
      <c r="AK53" s="36" t="n">
        <f aca="false">ASIN(COS($A$10*$B$5)*COS($A$10*AG53)*COS($A$10*AI53)+SIN($A$10*$B$5)*SIN($A$10*AG53))/$A$10</f>
        <v>24.0710217075881</v>
      </c>
      <c r="AL53" s="32" t="n">
        <f aca="false">ASIN((0.9983271+0.0016764*COS($A$10*2*$B$5))*COS($A$10*AK53)*SIN($A$10*AJ53))/$A$10</f>
        <v>0.881165159427786</v>
      </c>
      <c r="AM53" s="32" t="n">
        <f aca="false">AK53-AL53</f>
        <v>23.1898565481604</v>
      </c>
      <c r="AN53" s="35" t="n">
        <f aca="false"> MOD(280.4664567 + 360007.6982779*L53/10 + 0.03032028*L53^2/100 + L53^3/49931000,360)</f>
        <v>330.903849041195</v>
      </c>
      <c r="AO53" s="32" t="n">
        <f aca="false"> AN53 + (1.9146 - 0.004817*L53 - 0.000014*L53^2)*SIN(Q53)+ (0.019993 - 0.000101*L53)*SIN(2*Q53)+ 0.00029*SIN(3*Q53)</f>
        <v>332.336623091673</v>
      </c>
      <c r="AP53" s="32" t="n">
        <f aca="false">ACOS(COS(W53-$A$10*AO53)*COS(Y53))/$A$10</f>
        <v>127.574748564258</v>
      </c>
      <c r="AQ53" s="34" t="n">
        <f aca="false">180 - AP53 -0.1468*(1-0.0549*SIN(Q53))*SIN($A$10*AP53)/(1-0.0167*SIN($A$10*AO53))</f>
        <v>52.3144784248164</v>
      </c>
      <c r="AR53" s="64" t="n">
        <f aca="false">SIN($A$10*AI53)</f>
        <v>-0.615224941589706</v>
      </c>
      <c r="AS53" s="64" t="n">
        <f aca="false">COS($A$10*AI53)*SIN($A$10*$B$5) - TAN($A$10*AG53)*COS($A$10*$B$5)</f>
        <v>0.68421693982608</v>
      </c>
      <c r="AT53" s="24" t="n">
        <f aca="false">IF(OR(AND(AR53*AS53&gt;0), AND(AR53&lt;0,AS53&gt;0)), MOD(ATAN2(AS53,AR53)/$A$10+360,360),  ATAN2(AS53,AR53)/$A$10)</f>
        <v>318.039183426894</v>
      </c>
      <c r="AU53" s="39" t="n">
        <f aca="false"> 385000.56 + (-20905355*COS(P53) - 3699111*COS(2*R53-P53) - 2955968*COS(2*R53) - 569925*COS(2*P53) + (1-0.002516*L53)*48888*COS(Q53) - 3149*COS(2*S53)  +246158*COS(2*R53-2*P53) -(1 - 0.002516*L53)*152138*COS(2*R53-Q53-P53) -170733*COS(2*R53+P53) -(1 - 0.002516*L53)*204586*COS(2*R53-Q53) -(1 - 0.002516*L53)*129620*COS(Q53-P53)  + 108743*COS(R53) +(1-0.002516*L53)*104755*COS(Q53+P53) +10321*COS(2*R53-2*S53) +79661*COS(P53-2*S53) -34782*COS(4*R53-P53) -23210*COS(3*P53)  -21636*COS(4*R53-2*P53) +(1 - 0.002516*L53)*24208*COS(2*R53+Q53-P53) +(1 - 0.002516*L53)*30824*COS(2*R53+Q53) -8379*COS(R53-P53) -(1 - 0.002516*L53)*16675*COS(R53+Q53)  -(1 - 0.002516*L53)*12831*COS(2*R53-Q53+P53) -10445*COS(2*R53+2*P53) -11650*COS(4*R53) +14403*COS(2*R53-3*P53) -(1-0.002516*L53)*7003*COS(Q53-2*P53)  + (1 - 0.002516*L53)*10056*COS(2*R53-Q53-2*P53) +6322*COS(R53+P53) -(1 - 0.002516*L53)*(1-0.002516*L53)*9884*COS(2*R53-2*Q53) +(1-0.002516*L53)*5751*COS(Q53+2*P53) - (1-0.002516*L53)^2*4950*COS(2*R53-2*Q53-P53)  +4130*COS(2*R53+P53-2*S53) -(1-0.002516*L53)*3958*COS(4*R53-Q53-P53) +3258*COS(3*R53-P53) +(1 - 0.002516*L53)*2616*COS(2*R53+Q53+P53) -(1 - 0.002516*L53)*1897*COS(4*R53-Q53-2*P53)  -(1-0.002516*L53)^2*2117*COS(2*Q53-P53) +(1-0.002516*L53)^2*2354*COS(2*R53+2*Q53-P53) -1423*COS(4*R53+P53) -1117*COS(4*P53) -(1-0.002516*L53)*1571*COS(4*R53-Q53)  -1739*COS(R53-2*P53) -4421*COS(2*P53-2*S53) +(1-0.002516*L53)^2*1165*COS(2*Q53+P53) +8752*COS(2*R53-P53-2*S53))/1000</f>
        <v>378021.49890644</v>
      </c>
      <c r="AV53" s="54" t="n">
        <f aca="false">ATAN(0.99664719*TAN($A$10*input!$E$2))</f>
        <v>0.871010436227447</v>
      </c>
      <c r="AW53" s="54" t="n">
        <f aca="false">COS(AV53)</f>
        <v>0.644053912545845</v>
      </c>
      <c r="AX53" s="54" t="n">
        <f aca="false">0.99664719*SIN(AV53)</f>
        <v>0.762415269897027</v>
      </c>
      <c r="AY53" s="54" t="n">
        <f aca="false">6378.14/AU53</f>
        <v>0.0168724266171395</v>
      </c>
      <c r="AZ53" s="55" t="n">
        <f aca="false">M53-15*AH53</f>
        <v>-37.9682667633788</v>
      </c>
      <c r="BA53" s="56" t="n">
        <f aca="false">COS($A$10*AG53)*SIN($A$10*AZ53)</f>
        <v>-0.610479227279032</v>
      </c>
      <c r="BB53" s="56" t="n">
        <f aca="false">COS($A$10*AG53)*COS($A$10*AZ53)-AW53*AY53</f>
        <v>0.77140368747965</v>
      </c>
      <c r="BC53" s="56" t="n">
        <f aca="false">SIN($A$10*AG53)-AX53*AY53</f>
        <v>-0.136831823778665</v>
      </c>
      <c r="BD53" s="57" t="n">
        <f aca="false">SQRT(BA53^2+BB53^2+BC53^2)</f>
        <v>0.993212708333417</v>
      </c>
      <c r="BE53" s="58" t="n">
        <f aca="false">AU53*BD53</f>
        <v>375455.756737123</v>
      </c>
    </row>
    <row r="54" customFormat="false" ht="15" hidden="false" customHeight="false" outlineLevel="0" collapsed="false">
      <c r="D54" s="41" t="n">
        <f aca="false">K54-INT(275*E54/9)+IF($A$8="common year",2,1)*INT((E54+9)/12)+30</f>
        <v>22</v>
      </c>
      <c r="E54" s="41" t="n">
        <f aca="false">IF(K54&lt;32,1,INT(9*(IF($A$8="common year",2,1)+K54)/275+0.98))</f>
        <v>2</v>
      </c>
      <c r="F54" s="42" t="n">
        <f aca="false">AM54</f>
        <v>12.7075362002972</v>
      </c>
      <c r="G54" s="60" t="n">
        <f aca="false">F54+1.02/(TAN($A$10*(F54+10.3/(F54+5.11)))*60)</f>
        <v>12.7795319757351</v>
      </c>
      <c r="H54" s="43" t="n">
        <f aca="false">100*(1+COS($A$10*AQ54))/2</f>
        <v>71.209634665608</v>
      </c>
      <c r="I54" s="43" t="n">
        <f aca="false">IF(AI54&gt;180,AT54-180,AT54+180)</f>
        <v>130.157801487152</v>
      </c>
      <c r="J54" s="61" t="n">
        <f aca="false">$J$2+K53</f>
        <v>2459632.5</v>
      </c>
      <c r="K54" s="21" t="n">
        <v>53</v>
      </c>
      <c r="L54" s="62" t="n">
        <f aca="false">(J54-2451545)/36525</f>
        <v>0.221423682409309</v>
      </c>
      <c r="M54" s="63" t="n">
        <f aca="false">MOD(280.46061837+360.98564736629*(J54-2451545)+0.000387933*L54^2-L54^3/38710000+$B$7,360)</f>
        <v>166.883712260053</v>
      </c>
      <c r="N54" s="30" t="n">
        <f aca="false">0.606433+1336.855225*L54 - INT(0.606433+1336.855225*L54)</f>
        <v>0.617839767624901</v>
      </c>
      <c r="O54" s="35" t="n">
        <f aca="false">22640*SIN(P54)-4586*SIN(P54-2*R54)+2370*SIN(2*R54)+769*SIN(2*P54)-668*SIN(Q54)-412*SIN(2*S54)-212*SIN(2*P54-2*R54)-206*SIN(P54+Q54-2*R54)+192*SIN(P54+2*R54)-165*SIN(Q54-2*R54)-125*SIN(R54)-110*SIN(P54+Q54)+148*SIN(P54-Q54)-55*SIN(2*S54-2*R54)</f>
        <v>-14618.7611333625</v>
      </c>
      <c r="P54" s="32" t="n">
        <f aca="false">2*PI()*(0.374897+1325.55241*L54 - INT(0.374897+1325.55241*L54))</f>
        <v>5.55177760469262</v>
      </c>
      <c r="Q54" s="36" t="n">
        <f aca="false">2*PI()*(0.993133+99.997361*L54 - INT(0.993133+99.997361*L54))</f>
        <v>0.847707907853611</v>
      </c>
      <c r="R54" s="36" t="n">
        <f aca="false">2*PI()*(0.827361+1236.853086*L54 - INT(0.827361+1236.853086*L54))</f>
        <v>4.37263139879695</v>
      </c>
      <c r="S54" s="36" t="n">
        <f aca="false">2*PI()*(0.259086+1342.227825*L54 - INT(0.259086+1342.227825*L54))</f>
        <v>2.89097928596209</v>
      </c>
      <c r="T54" s="36" t="n">
        <f aca="false">S54+(O54+412*SIN(2*S54)+541*SIN(Q54))/206264.8062</f>
        <v>2.82111227919232</v>
      </c>
      <c r="U54" s="36" t="n">
        <f aca="false">S54-2*R54</f>
        <v>-5.8542835116318</v>
      </c>
      <c r="V54" s="34" t="n">
        <f aca="false">-526*SIN(U54)+44*SIN(P54+U54)-31*SIN(-P54+U54)-23*SIN(Q54+U54)+11*SIN(-Q54+U54)-25*SIN(-2*P54+S54)+21*SIN(-P54+S54)</f>
        <v>-273.069380488337</v>
      </c>
      <c r="W54" s="36" t="n">
        <f aca="false">2*PI()*(N54+O54/1296000-INT(N54+O54/1296000))</f>
        <v>3.81112799614876</v>
      </c>
      <c r="X54" s="35" t="n">
        <f aca="false">W54*180/PI()</f>
        <v>218.361549363475</v>
      </c>
      <c r="Y54" s="36" t="n">
        <f aca="false">(18520*SIN(T54)+V54)/206264.8062</f>
        <v>0.0269612041777457</v>
      </c>
      <c r="Z54" s="36" t="n">
        <f aca="false">Y54*180/PI()</f>
        <v>1.54476320997531</v>
      </c>
      <c r="AA54" s="36" t="n">
        <f aca="false">COS(Y54)*COS(W54)</f>
        <v>-0.783825156890795</v>
      </c>
      <c r="AB54" s="36" t="n">
        <f aca="false">COS(Y54)*SIN(W54)</f>
        <v>-0.620396158118642</v>
      </c>
      <c r="AC54" s="36" t="n">
        <f aca="false">SIN(Y54)</f>
        <v>0.0269579379172291</v>
      </c>
      <c r="AD54" s="36" t="n">
        <f aca="false">COS($A$10*(23.4393-46.815*L54/3600))*AB54-SIN($A$10*(23.4393-46.815*L54/3600))*AC54</f>
        <v>-0.579936722190752</v>
      </c>
      <c r="AE54" s="36" t="n">
        <f aca="false">SIN($A$10*(23.4393-46.815*L54/3600))*AB54+COS($A$10*(23.4393-46.815*L54/3600))*AC54</f>
        <v>-0.222016940073874</v>
      </c>
      <c r="AF54" s="36" t="n">
        <f aca="false">SQRT(1-AE54*AE54)</f>
        <v>0.975042808455215</v>
      </c>
      <c r="AG54" s="35" t="n">
        <f aca="false">ATAN(AE54/AF54)/$A$10</f>
        <v>-12.8275252619496</v>
      </c>
      <c r="AH54" s="36" t="n">
        <f aca="false">IF(24*ATAN(AD54/(AA54+AF54))/PI()&gt;0,24*ATAN(AD54/(AA54+AF54))/PI(),24*ATAN(AD54/(AA54+AF54))/PI()+24)</f>
        <v>14.4331337322564</v>
      </c>
      <c r="AI54" s="63" t="n">
        <f aca="false">IF(M54-15*AH54&gt;0,M54-15*AH54,360+M54-15*AH54)</f>
        <v>310.386706276206</v>
      </c>
      <c r="AJ54" s="32" t="n">
        <f aca="false">0.950724+0.051818*COS(P54)+0.009531*COS(2*R54-P54)+0.007843*COS(2*R54)+0.002824*COS(2*P54)+0.000857*COS(2*R54+P54)+0.000533*COS(2*R54-Q54)*(1-0.002495*(J54-2415020)/36525)+0.000401*COS(2*R54-Q54-P54)*(1-0.002495*(J54-2415020)/36525)+0.00032*COS(P54-Q54)*(1-0.002495*(J54-2415020)/36525)-0.000271*COS(R54)</f>
        <v>0.973622405454764</v>
      </c>
      <c r="AK54" s="36" t="n">
        <f aca="false">ASIN(COS($A$10*$B$5)*COS($A$10*AG54)*COS($A$10*AI54)+SIN($A$10*$B$5)*SIN($A$10*AG54))/$A$10</f>
        <v>13.651791002236</v>
      </c>
      <c r="AL54" s="32" t="n">
        <f aca="false">ASIN((0.9983271+0.0016764*COS($A$10*2*$B$5))*COS($A$10*AK54)*SIN($A$10*AJ54))/$A$10</f>
        <v>0.944254801938759</v>
      </c>
      <c r="AM54" s="32" t="n">
        <f aca="false">AK54-AL54</f>
        <v>12.7075362002972</v>
      </c>
      <c r="AN54" s="35" t="n">
        <f aca="false"> MOD(280.4664567 + 360007.6982779*L54/10 + 0.03032028*L54^2/100 + L54^3/49931000,360)</f>
        <v>331.889496404974</v>
      </c>
      <c r="AO54" s="32" t="n">
        <f aca="false"> AN54 + (1.9146 - 0.004817*L54 - 0.000014*L54^2)*SIN(Q54)+ (0.019993 - 0.000101*L54)*SIN(2*Q54)+ 0.00029*SIN(3*Q54)</f>
        <v>333.344176727719</v>
      </c>
      <c r="AP54" s="32" t="n">
        <f aca="false">ACOS(COS(W54-$A$10*AO54)*COS(Y54))/$A$10</f>
        <v>114.972925472328</v>
      </c>
      <c r="AQ54" s="34" t="n">
        <f aca="false">180 - AP54 -0.1468*(1-0.0549*SIN(Q54))*SIN($A$10*AP54)/(1-0.0167*SIN($A$10*AO54))</f>
        <v>64.9004257737811</v>
      </c>
      <c r="AR54" s="64" t="n">
        <f aca="false">SIN($A$10*AI54)</f>
        <v>-0.761688663330858</v>
      </c>
      <c r="AS54" s="64" t="n">
        <f aca="false">COS($A$10*AI54)*SIN($A$10*$B$5) - TAN($A$10*AG54)*COS($A$10*$B$5)</f>
        <v>0.642715817811626</v>
      </c>
      <c r="AT54" s="24" t="n">
        <f aca="false">IF(OR(AND(AR54*AS54&gt;0), AND(AR54&lt;0,AS54&gt;0)), MOD(ATAN2(AS54,AR54)/$A$10+360,360),  ATAN2(AS54,AR54)/$A$10)</f>
        <v>310.157801487152</v>
      </c>
      <c r="AU54" s="39" t="n">
        <f aca="false"> 385000.56 + (-20905355*COS(P54) - 3699111*COS(2*R54-P54) - 2955968*COS(2*R54) - 569925*COS(2*P54) + (1-0.002516*L54)*48888*COS(Q54) - 3149*COS(2*S54)  +246158*COS(2*R54-2*P54) -(1 - 0.002516*L54)*152138*COS(2*R54-Q54-P54) -170733*COS(2*R54+P54) -(1 - 0.002516*L54)*204586*COS(2*R54-Q54) -(1 - 0.002516*L54)*129620*COS(Q54-P54)  + 108743*COS(R54) +(1-0.002516*L54)*104755*COS(Q54+P54) +10321*COS(2*R54-2*S54) +79661*COS(P54-2*S54) -34782*COS(4*R54-P54) -23210*COS(3*P54)  -21636*COS(4*R54-2*P54) +(1 - 0.002516*L54)*24208*COS(2*R54+Q54-P54) +(1 - 0.002516*L54)*30824*COS(2*R54+Q54) -8379*COS(R54-P54) -(1 - 0.002516*L54)*16675*COS(R54+Q54)  -(1 - 0.002516*L54)*12831*COS(2*R54-Q54+P54) -10445*COS(2*R54+2*P54) -11650*COS(4*R54) +14403*COS(2*R54-3*P54) -(1-0.002516*L54)*7003*COS(Q54-2*P54)  + (1 - 0.002516*L54)*10056*COS(2*R54-Q54-2*P54) +6322*COS(R54+P54) -(1 - 0.002516*L54)*(1-0.002516*L54)*9884*COS(2*R54-2*Q54) +(1-0.002516*L54)*5751*COS(Q54+2*P54) - (1-0.002516*L54)^2*4950*COS(2*R54-2*Q54-P54)  +4130*COS(2*R54+P54-2*S54) -(1-0.002516*L54)*3958*COS(4*R54-Q54-P54) +3258*COS(3*R54-P54) +(1 - 0.002516*L54)*2616*COS(2*R54+Q54+P54) -(1 - 0.002516*L54)*1897*COS(4*R54-Q54-2*P54)  -(1-0.002516*L54)^2*2117*COS(2*Q54-P54) +(1-0.002516*L54)^2*2354*COS(2*R54+2*Q54-P54) -1423*COS(4*R54+P54) -1117*COS(4*P54) -(1-0.002516*L54)*1571*COS(4*R54-Q54)  -1739*COS(R54-2*P54) -4421*COS(2*P54-2*S54) +(1-0.002516*L54)^2*1165*COS(2*Q54+P54) +8752*COS(2*R54-P54-2*S54))/1000</f>
        <v>375372.744938648</v>
      </c>
      <c r="AV54" s="54" t="n">
        <f aca="false">ATAN(0.99664719*TAN($A$10*input!$E$2))</f>
        <v>0.871010436227447</v>
      </c>
      <c r="AW54" s="54" t="n">
        <f aca="false">COS(AV54)</f>
        <v>0.644053912545845</v>
      </c>
      <c r="AX54" s="54" t="n">
        <f aca="false">0.99664719*SIN(AV54)</f>
        <v>0.762415269897027</v>
      </c>
      <c r="AY54" s="54" t="n">
        <f aca="false">6378.14/AU54</f>
        <v>0.016991484027543</v>
      </c>
      <c r="AZ54" s="55" t="n">
        <f aca="false">M54-15*AH54</f>
        <v>-49.613293723794</v>
      </c>
      <c r="BA54" s="56" t="n">
        <f aca="false">COS($A$10*AG54)*SIN($A$10*AZ54)</f>
        <v>-0.74267905346262</v>
      </c>
      <c r="BB54" s="56" t="n">
        <f aca="false">COS($A$10*AG54)*COS($A$10*AZ54)-AW54*AY54</f>
        <v>0.62082891795002</v>
      </c>
      <c r="BC54" s="56" t="n">
        <f aca="false">SIN($A$10*AG54)-AX54*AY54</f>
        <v>-0.234971506954684</v>
      </c>
      <c r="BD54" s="57" t="n">
        <f aca="false">SQRT(BA54^2+BB54^2+BC54^2)</f>
        <v>0.996098554810557</v>
      </c>
      <c r="BE54" s="58" t="n">
        <f aca="false">AU54*BD54</f>
        <v>373908.248748659</v>
      </c>
    </row>
    <row r="55" customFormat="false" ht="15" hidden="false" customHeight="false" outlineLevel="0" collapsed="false">
      <c r="D55" s="41" t="n">
        <f aca="false">K55-INT(275*E55/9)+IF($A$8="common year",2,1)*INT((E55+9)/12)+30</f>
        <v>23</v>
      </c>
      <c r="E55" s="41" t="n">
        <f aca="false">IF(K55&lt;32,1,INT(9*(IF($A$8="common year",2,1)+K55)/275+0.98))</f>
        <v>2</v>
      </c>
      <c r="F55" s="42" t="n">
        <f aca="false">AM55</f>
        <v>1.95152041494601</v>
      </c>
      <c r="G55" s="60" t="n">
        <f aca="false">F55+1.02/(TAN($A$10*(F55+10.3/(F55+5.11)))*60)</f>
        <v>2.23681097725756</v>
      </c>
      <c r="H55" s="43" t="n">
        <f aca="false">100*(1+COS($A$10*AQ55))/2</f>
        <v>60.6783850343435</v>
      </c>
      <c r="I55" s="43" t="n">
        <f aca="false">IF(AI55&gt;180,AT55-180,AT55+180)</f>
        <v>122.779508551975</v>
      </c>
      <c r="J55" s="61" t="n">
        <f aca="false">$J$2+K54</f>
        <v>2459633.5</v>
      </c>
      <c r="K55" s="21" t="n">
        <v>54</v>
      </c>
      <c r="L55" s="62" t="n">
        <f aca="false">(J55-2451545)/36525</f>
        <v>0.22145106091718</v>
      </c>
      <c r="M55" s="63" t="n">
        <f aca="false">MOD(280.46061837+360.98564736629*(J55-2451545)+0.000387933*L55^2-L55^3/38710000+$B$7,360)</f>
        <v>167.869359630626</v>
      </c>
      <c r="N55" s="30" t="n">
        <f aca="false">0.606433+1336.855225*L55 - INT(0.606433+1336.855225*L55)</f>
        <v>0.654440868925349</v>
      </c>
      <c r="O55" s="35" t="n">
        <f aca="false">22640*SIN(P55)-4586*SIN(P55-2*R55)+2370*SIN(2*R55)+769*SIN(2*P55)-668*SIN(Q55)-412*SIN(2*S55)-212*SIN(2*P55-2*R55)-206*SIN(P55+Q55-2*R55)+192*SIN(P55+2*R55)-165*SIN(Q55-2*R55)-125*SIN(R55)-110*SIN(P55+Q55)+148*SIN(P55-Q55)-55*SIN(2*S55-2*R55)</f>
        <v>-12393.6163119717</v>
      </c>
      <c r="P55" s="32" t="n">
        <f aca="false">2*PI()*(0.374897+1325.55241*L55 - INT(0.374897+1325.55241*L55))</f>
        <v>5.77980474846844</v>
      </c>
      <c r="Q55" s="36" t="n">
        <f aca="false">2*PI()*(0.993133+99.997361*L55 - INT(0.993133+99.997361*L55))</f>
        <v>0.864909877720596</v>
      </c>
      <c r="R55" s="36" t="n">
        <f aca="false">2*PI()*(0.827361+1236.853086*L55 - INT(0.827361+1236.853086*L55))</f>
        <v>4.58540010891597</v>
      </c>
      <c r="S55" s="36" t="n">
        <f aca="false">2*PI()*(0.259086+1342.227825*L55 - INT(0.259086+1342.227825*L55))</f>
        <v>3.1218750053031</v>
      </c>
      <c r="T55" s="36" t="n">
        <f aca="false">S55+(O55+412*SIN(2*S55)+541*SIN(Q55))/206264.8062</f>
        <v>3.06370638820541</v>
      </c>
      <c r="U55" s="36" t="n">
        <f aca="false">S55-2*R55</f>
        <v>-6.04892521252885</v>
      </c>
      <c r="V55" s="34" t="n">
        <f aca="false">-526*SIN(U55)+44*SIN(P55+U55)-31*SIN(-P55+U55)-23*SIN(Q55+U55)+11*SIN(-Q55+U55)-25*SIN(-2*P55+S55)+21*SIN(-P55+S55)</f>
        <v>-170.525613331459</v>
      </c>
      <c r="W55" s="36" t="n">
        <f aca="false">2*PI()*(N55+O55/1296000-INT(N55+O55/1296000))</f>
        <v>4.05188730458493</v>
      </c>
      <c r="X55" s="35" t="n">
        <f aca="false">W55*180/PI()</f>
        <v>232.156041615356</v>
      </c>
      <c r="Y55" s="36" t="n">
        <f aca="false">(18520*SIN(T55)+V55)/206264.8062</f>
        <v>0.006159412755192</v>
      </c>
      <c r="Z55" s="36" t="n">
        <f aca="false">Y55*180/PI()</f>
        <v>0.352908355151548</v>
      </c>
      <c r="AA55" s="36" t="n">
        <f aca="false">COS(Y55)*COS(W55)</f>
        <v>-0.613501456981936</v>
      </c>
      <c r="AB55" s="36" t="n">
        <f aca="false">COS(Y55)*SIN(W55)</f>
        <v>-0.789669566588028</v>
      </c>
      <c r="AC55" s="36" t="n">
        <f aca="false">SIN(Y55)</f>
        <v>0.00615937380892382</v>
      </c>
      <c r="AD55" s="36" t="n">
        <f aca="false">COS($A$10*(23.4393-46.815*L55/3600))*AB55-SIN($A$10*(23.4393-46.815*L55/3600))*AC55</f>
        <v>-0.726973175546765</v>
      </c>
      <c r="AE55" s="36" t="n">
        <f aca="false">SIN($A$10*(23.4393-46.815*L55/3600))*AB55+COS($A$10*(23.4393-46.815*L55/3600))*AC55</f>
        <v>-0.308424973561634</v>
      </c>
      <c r="AF55" s="36" t="n">
        <f aca="false">SQRT(1-AE55*AE55)</f>
        <v>0.951248671843228</v>
      </c>
      <c r="AG55" s="35" t="n">
        <f aca="false">ATAN(AE55/AF55)/$A$10</f>
        <v>-17.9643376960719</v>
      </c>
      <c r="AH55" s="36" t="n">
        <f aca="false">IF(24*ATAN(AD55/(AA55+AF55))/PI()&gt;0,24*ATAN(AD55/(AA55+AF55))/PI(),24*ATAN(AD55/(AA55+AF55))/PI()+24)</f>
        <v>15.3225717074921</v>
      </c>
      <c r="AI55" s="63" t="n">
        <f aca="false">IF(M55-15*AH55&gt;0,M55-15*AH55,360+M55-15*AH55)</f>
        <v>298.030784018245</v>
      </c>
      <c r="AJ55" s="32" t="n">
        <f aca="false">0.950724+0.051818*COS(P55)+0.009531*COS(2*R55-P55)+0.007843*COS(2*R55)+0.002824*COS(2*P55)+0.000857*COS(2*R55+P55)+0.000533*COS(2*R55-Q55)*(1-0.002495*(J55-2415020)/36525)+0.000401*COS(2*R55-Q55-P55)*(1-0.002495*(J55-2415020)/36525)+0.00032*COS(P55-Q55)*(1-0.002495*(J55-2415020)/36525)-0.000271*COS(R55)</f>
        <v>0.979713820058883</v>
      </c>
      <c r="AK55" s="36" t="n">
        <f aca="false">ASIN(COS($A$10*$B$5)*COS($A$10*AG55)*COS($A$10*AI55)+SIN($A$10*$B$5)*SIN($A$10*AG55))/$A$10</f>
        <v>2.92803324275738</v>
      </c>
      <c r="AL55" s="32" t="n">
        <f aca="false">ASIN((0.9983271+0.0016764*COS($A$10*2*$B$5))*COS($A$10*AK55)*SIN($A$10*AJ55))/$A$10</f>
        <v>0.97651282781137</v>
      </c>
      <c r="AM55" s="32" t="n">
        <f aca="false">AK55-AL55</f>
        <v>1.95152041494601</v>
      </c>
      <c r="AN55" s="35" t="n">
        <f aca="false"> MOD(280.4664567 + 360007.6982779*L55/10 + 0.03032028*L55^2/100 + L55^3/49931000,360)</f>
        <v>332.875143768757</v>
      </c>
      <c r="AO55" s="32" t="n">
        <f aca="false"> AN55 + (1.9146 - 0.004817*L55 - 0.000014*L55^2)*SIN(Q55)+ (0.019993 - 0.000101*L55)*SIN(2*Q55)+ 0.00029*SIN(3*Q55)</f>
        <v>334.351281944779</v>
      </c>
      <c r="AP55" s="32" t="n">
        <f aca="false">ACOS(COS(W55-$A$10*AO55)*COS(Y55))/$A$10</f>
        <v>102.1950054386</v>
      </c>
      <c r="AQ55" s="34" t="n">
        <f aca="false">180 - AP55 -0.1468*(1-0.0549*SIN(Q55))*SIN($A$10*AP55)/(1-0.0167*SIN($A$10*AO55))</f>
        <v>77.6684889872552</v>
      </c>
      <c r="AR55" s="64" t="n">
        <f aca="false">SIN($A$10*AI55)</f>
        <v>-0.882695226586372</v>
      </c>
      <c r="AS55" s="64" t="n">
        <f aca="false">COS($A$10*AI55)*SIN($A$10*$B$5) - TAN($A$10*AG55)*COS($A$10*$B$5)</f>
        <v>0.568411554644634</v>
      </c>
      <c r="AT55" s="24" t="n">
        <f aca="false">IF(OR(AND(AR55*AS55&gt;0), AND(AR55&lt;0,AS55&gt;0)), MOD(ATAN2(AS55,AR55)/$A$10+360,360),  ATAN2(AS55,AR55)/$A$10)</f>
        <v>302.779508551976</v>
      </c>
      <c r="AU55" s="39" t="n">
        <f aca="false"> 385000.56 + (-20905355*COS(P55) - 3699111*COS(2*R55-P55) - 2955968*COS(2*R55) - 569925*COS(2*P55) + (1-0.002516*L55)*48888*COS(Q55) - 3149*COS(2*S55)  +246158*COS(2*R55-2*P55) -(1 - 0.002516*L55)*152138*COS(2*R55-Q55-P55) -170733*COS(2*R55+P55) -(1 - 0.002516*L55)*204586*COS(2*R55-Q55) -(1 - 0.002516*L55)*129620*COS(Q55-P55)  + 108743*COS(R55) +(1-0.002516*L55)*104755*COS(Q55+P55) +10321*COS(2*R55-2*S55) +79661*COS(P55-2*S55) -34782*COS(4*R55-P55) -23210*COS(3*P55)  -21636*COS(4*R55-2*P55) +(1 - 0.002516*L55)*24208*COS(2*R55+Q55-P55) +(1 - 0.002516*L55)*30824*COS(2*R55+Q55) -8379*COS(R55-P55) -(1 - 0.002516*L55)*16675*COS(R55+Q55)  -(1 - 0.002516*L55)*12831*COS(2*R55-Q55+P55) -10445*COS(2*R55+2*P55) -11650*COS(4*R55) +14403*COS(2*R55-3*P55) -(1-0.002516*L55)*7003*COS(Q55-2*P55)  + (1 - 0.002516*L55)*10056*COS(2*R55-Q55-2*P55) +6322*COS(R55+P55) -(1 - 0.002516*L55)*(1-0.002516*L55)*9884*COS(2*R55-2*Q55) +(1-0.002516*L55)*5751*COS(Q55+2*P55) - (1-0.002516*L55)^2*4950*COS(2*R55-2*Q55-P55)  +4130*COS(2*R55+P55-2*S55) -(1-0.002516*L55)*3958*COS(4*R55-Q55-P55) +3258*COS(3*R55-P55) +(1 - 0.002516*L55)*2616*COS(2*R55+Q55+P55) -(1 - 0.002516*L55)*1897*COS(4*R55-Q55-2*P55)  -(1-0.002516*L55)^2*2117*COS(2*Q55-P55) +(1-0.002516*L55)^2*2354*COS(2*R55+2*Q55-P55) -1423*COS(4*R55+P55) -1117*COS(4*P55) -(1-0.002516*L55)*1571*COS(4*R55-Q55)  -1739*COS(R55-2*P55) -4421*COS(2*P55-2*S55) +(1-0.002516*L55)^2*1165*COS(2*Q55+P55) +8752*COS(2*R55-P55-2*S55))/1000</f>
        <v>372987.576656649</v>
      </c>
      <c r="AV55" s="54" t="n">
        <f aca="false">ATAN(0.99664719*TAN($A$10*input!$E$2))</f>
        <v>0.871010436227447</v>
      </c>
      <c r="AW55" s="54" t="n">
        <f aca="false">COS(AV55)</f>
        <v>0.644053912545845</v>
      </c>
      <c r="AX55" s="54" t="n">
        <f aca="false">0.99664719*SIN(AV55)</f>
        <v>0.762415269897027</v>
      </c>
      <c r="AY55" s="54" t="n">
        <f aca="false">6378.14/AU55</f>
        <v>0.0171001405922733</v>
      </c>
      <c r="AZ55" s="55" t="n">
        <f aca="false">M55-15*AH55</f>
        <v>-61.9692159817552</v>
      </c>
      <c r="BA55" s="56" t="n">
        <f aca="false">COS($A$10*AG55)*SIN($A$10*AZ55)</f>
        <v>-0.839662661932644</v>
      </c>
      <c r="BB55" s="56" t="n">
        <f aca="false">COS($A$10*AG55)*COS($A$10*AZ55)-AW55*AY55</f>
        <v>0.436021988649878</v>
      </c>
      <c r="BC55" s="56" t="n">
        <f aca="false">SIN($A$10*AG55)-AX55*AY55</f>
        <v>-0.321462381866569</v>
      </c>
      <c r="BD55" s="57" t="n">
        <f aca="false">SQRT(BA55^2+BB55^2+BC55^2)</f>
        <v>0.999243025187234</v>
      </c>
      <c r="BE55" s="58" t="n">
        <f aca="false">AU55*BD55</f>
        <v>372705.234455645</v>
      </c>
    </row>
    <row r="56" customFormat="false" ht="15" hidden="false" customHeight="false" outlineLevel="0" collapsed="false">
      <c r="D56" s="41" t="n">
        <f aca="false">K56-INT(275*E56/9)+IF($A$8="common year",2,1)*INT((E56+9)/12)+30</f>
        <v>24</v>
      </c>
      <c r="E56" s="41" t="n">
        <f aca="false">IF(K56&lt;32,1,INT(9*(IF($A$8="common year",2,1)+K56)/275+0.98))</f>
        <v>2</v>
      </c>
      <c r="F56" s="42" t="n">
        <f aca="false">AM56</f>
        <v>-8.8639925593499</v>
      </c>
      <c r="G56" s="60" t="n">
        <f aca="false">F56+1.02/(TAN($A$10*(F56+10.3/(F56+5.11)))*60)</f>
        <v>-8.94675335490575</v>
      </c>
      <c r="H56" s="43" t="n">
        <f aca="false">100*(1+COS($A$10*AQ56))/2</f>
        <v>49.4706026150257</v>
      </c>
      <c r="I56" s="43" t="n">
        <f aca="false">IF(AI56&gt;180,AT56-180,AT56+180)</f>
        <v>115.333068582204</v>
      </c>
      <c r="J56" s="61" t="n">
        <f aca="false">$J$2+K55</f>
        <v>2459634.5</v>
      </c>
      <c r="K56" s="21" t="n">
        <v>55</v>
      </c>
      <c r="L56" s="62" t="n">
        <f aca="false">(J56-2451545)/36525</f>
        <v>0.221478439425051</v>
      </c>
      <c r="M56" s="63" t="n">
        <f aca="false">MOD(280.46061837+360.98564736629*(J56-2451545)+0.000387933*L56^2-L56^3/38710000+$B$7,360)</f>
        <v>168.855007001665</v>
      </c>
      <c r="N56" s="30" t="n">
        <f aca="false">0.606433+1336.855225*L56 - INT(0.606433+1336.855225*L56)</f>
        <v>0.691041970225854</v>
      </c>
      <c r="O56" s="35" t="n">
        <f aca="false">22640*SIN(P56)-4586*SIN(P56-2*R56)+2370*SIN(2*R56)+769*SIN(2*P56)-668*SIN(Q56)-412*SIN(2*S56)-212*SIN(2*P56-2*R56)-206*SIN(P56+Q56-2*R56)+192*SIN(P56+2*R56)-165*SIN(Q56-2*R56)-125*SIN(R56)-110*SIN(P56+Q56)+148*SIN(P56-Q56)-55*SIN(2*S56-2*R56)</f>
        <v>-9615.02508716882</v>
      </c>
      <c r="P56" s="32" t="n">
        <f aca="false">2*PI()*(0.374897+1325.55241*L56 - INT(0.374897+1325.55241*L56))</f>
        <v>6.0078318922439</v>
      </c>
      <c r="Q56" s="36" t="n">
        <f aca="false">2*PI()*(0.993133+99.997361*L56 - INT(0.993133+99.997361*L56))</f>
        <v>0.882111847587581</v>
      </c>
      <c r="R56" s="36" t="n">
        <f aca="false">2*PI()*(0.827361+1236.853086*L56 - INT(0.827361+1236.853086*L56))</f>
        <v>4.798168819035</v>
      </c>
      <c r="S56" s="36" t="n">
        <f aca="false">2*PI()*(0.259086+1342.227825*L56 - INT(0.259086+1342.227825*L56))</f>
        <v>3.3527707246441</v>
      </c>
      <c r="T56" s="36" t="n">
        <f aca="false">S56+(O56+412*SIN(2*S56)+541*SIN(Q56))/206264.8062</f>
        <v>3.30899958745276</v>
      </c>
      <c r="U56" s="36" t="n">
        <f aca="false">S56-2*R56</f>
        <v>-6.24356691342589</v>
      </c>
      <c r="V56" s="34" t="n">
        <f aca="false">-526*SIN(U56)+44*SIN(P56+U56)-31*SIN(-P56+U56)-23*SIN(Q56+U56)+11*SIN(-Q56+U56)-25*SIN(-2*P56+S56)+21*SIN(-P56+S56)</f>
        <v>-59.8077736775803</v>
      </c>
      <c r="W56" s="36" t="n">
        <f aca="false">2*PI()*(N56+O56/1296000-INT(N56+O56/1296000))</f>
        <v>4.29532979690281</v>
      </c>
      <c r="X56" s="35" t="n">
        <f aca="false">W56*180/PI()</f>
        <v>246.104268979316</v>
      </c>
      <c r="Y56" s="36" t="n">
        <f aca="false">(18520*SIN(T56)+V56)/206264.8062</f>
        <v>-0.015250895883375</v>
      </c>
      <c r="Z56" s="36" t="n">
        <f aca="false">Y56*180/PI()</f>
        <v>-0.873811967910827</v>
      </c>
      <c r="AA56" s="36" t="n">
        <f aca="false">COS(Y56)*COS(W56)</f>
        <v>-0.40502635958468</v>
      </c>
      <c r="AB56" s="36" t="n">
        <f aca="false">COS(Y56)*SIN(W56)</f>
        <v>-0.914177814349294</v>
      </c>
      <c r="AC56" s="36" t="n">
        <f aca="false">SIN(Y56)</f>
        <v>-0.0152503046897156</v>
      </c>
      <c r="AD56" s="36" t="n">
        <f aca="false">COS($A$10*(23.4393-46.815*L56/3600))*AB56-SIN($A$10*(23.4393-46.815*L56/3600))*AC56</f>
        <v>-0.832694446489608</v>
      </c>
      <c r="AE56" s="36" t="n">
        <f aca="false">SIN($A$10*(23.4393-46.815*L56/3600))*AB56+COS($A$10*(23.4393-46.815*L56/3600))*AC56</f>
        <v>-0.377589203800833</v>
      </c>
      <c r="AF56" s="36" t="n">
        <f aca="false">SQRT(1-AE56*AE56)</f>
        <v>0.925973214068881</v>
      </c>
      <c r="AG56" s="35" t="n">
        <f aca="false">ATAN(AE56/AF56)/$A$10</f>
        <v>-22.184432115681</v>
      </c>
      <c r="AH56" s="36" t="n">
        <f aca="false">IF(24*ATAN(AD56/(AA56+AF56))/PI()&gt;0,24*ATAN(AD56/(AA56+AF56))/PI(),24*ATAN(AD56/(AA56+AF56))/PI()+24)</f>
        <v>16.2707667501179</v>
      </c>
      <c r="AI56" s="63" t="n">
        <f aca="false">IF(M56-15*AH56&gt;0,M56-15*AH56,360+M56-15*AH56)</f>
        <v>284.793505749897</v>
      </c>
      <c r="AJ56" s="32" t="n">
        <f aca="false">0.950724+0.051818*COS(P56)+0.009531*COS(2*R56-P56)+0.007843*COS(2*R56)+0.002824*COS(2*P56)+0.000857*COS(2*R56+P56)+0.000533*COS(2*R56-Q56)*(1-0.002495*(J56-2415020)/36525)+0.000401*COS(2*R56-Q56-P56)*(1-0.002495*(J56-2415020)/36525)+0.00032*COS(P56-Q56)*(1-0.002495*(J56-2415020)/36525)-0.000271*COS(R56)</f>
        <v>0.985160915747518</v>
      </c>
      <c r="AK56" s="36" t="n">
        <f aca="false">ASIN(COS($A$10*$B$5)*COS($A$10*AG56)*COS($A$10*AI56)+SIN($A$10*$B$5)*SIN($A$10*AG56))/$A$10</f>
        <v>-7.89007554217672</v>
      </c>
      <c r="AL56" s="32" t="n">
        <f aca="false">ASIN((0.9983271+0.0016764*COS($A$10*2*$B$5))*COS($A$10*AK56)*SIN($A$10*AJ56))/$A$10</f>
        <v>0.973917017173181</v>
      </c>
      <c r="AM56" s="32" t="n">
        <f aca="false">AK56-AL56</f>
        <v>-8.8639925593499</v>
      </c>
      <c r="AN56" s="35" t="n">
        <f aca="false"> MOD(280.4664567 + 360007.6982779*L56/10 + 0.03032028*L56^2/100 + L56^3/49931000,360)</f>
        <v>333.860791132536</v>
      </c>
      <c r="AO56" s="32" t="n">
        <f aca="false"> AN56 + (1.9146 - 0.004817*L56 - 0.000014*L56^2)*SIN(Q56)+ (0.019993 - 0.000101*L56)*SIN(2*Q56)+ 0.00029*SIN(3*Q56)</f>
        <v>335.357932509487</v>
      </c>
      <c r="AP56" s="32" t="n">
        <f aca="false">ACOS(COS(W56-$A$10*AO56)*COS(Y56))/$A$10</f>
        <v>89.2537503285322</v>
      </c>
      <c r="AQ56" s="34" t="n">
        <f aca="false">180 - AP56 -0.1468*(1-0.0549*SIN(Q56))*SIN($A$10*AP56)/(1-0.0167*SIN($A$10*AO56))</f>
        <v>90.6066560520719</v>
      </c>
      <c r="AR56" s="64" t="n">
        <f aca="false">SIN($A$10*AI56)</f>
        <v>-0.966852336160671</v>
      </c>
      <c r="AS56" s="64" t="n">
        <f aca="false">COS($A$10*AI56)*SIN($A$10*$B$5) - TAN($A$10*AG56)*COS($A$10*$B$5)</f>
        <v>0.457711902949889</v>
      </c>
      <c r="AT56" s="24" t="n">
        <f aca="false">IF(OR(AND(AR56*AS56&gt;0), AND(AR56&lt;0,AS56&gt;0)), MOD(ATAN2(AS56,AR56)/$A$10+360,360),  ATAN2(AS56,AR56)/$A$10)</f>
        <v>295.333068582204</v>
      </c>
      <c r="AU56" s="39" t="n">
        <f aca="false"> 385000.56 + (-20905355*COS(P56) - 3699111*COS(2*R56-P56) - 2955968*COS(2*R56) - 569925*COS(2*P56) + (1-0.002516*L56)*48888*COS(Q56) - 3149*COS(2*S56)  +246158*COS(2*R56-2*P56) -(1 - 0.002516*L56)*152138*COS(2*R56-Q56-P56) -170733*COS(2*R56+P56) -(1 - 0.002516*L56)*204586*COS(2*R56-Q56) -(1 - 0.002516*L56)*129620*COS(Q56-P56)  + 108743*COS(R56) +(1-0.002516*L56)*104755*COS(Q56+P56) +10321*COS(2*R56-2*S56) +79661*COS(P56-2*S56) -34782*COS(4*R56-P56) -23210*COS(3*P56)  -21636*COS(4*R56-2*P56) +(1 - 0.002516*L56)*24208*COS(2*R56+Q56-P56) +(1 - 0.002516*L56)*30824*COS(2*R56+Q56) -8379*COS(R56-P56) -(1 - 0.002516*L56)*16675*COS(R56+Q56)  -(1 - 0.002516*L56)*12831*COS(2*R56-Q56+P56) -10445*COS(2*R56+2*P56) -11650*COS(4*R56) +14403*COS(2*R56-3*P56) -(1-0.002516*L56)*7003*COS(Q56-2*P56)  + (1 - 0.002516*L56)*10056*COS(2*R56-Q56-2*P56) +6322*COS(R56+P56) -(1 - 0.002516*L56)*(1-0.002516*L56)*9884*COS(2*R56-2*Q56) +(1-0.002516*L56)*5751*COS(Q56+2*P56) - (1-0.002516*L56)^2*4950*COS(2*R56-2*Q56-P56)  +4130*COS(2*R56+P56-2*S56) -(1-0.002516*L56)*3958*COS(4*R56-Q56-P56) +3258*COS(3*R56-P56) +(1 - 0.002516*L56)*2616*COS(2*R56+Q56+P56) -(1 - 0.002516*L56)*1897*COS(4*R56-Q56-2*P56)  -(1-0.002516*L56)^2*2117*COS(2*Q56-P56) +(1-0.002516*L56)^2*2354*COS(2*R56+2*Q56-P56) -1423*COS(4*R56+P56) -1117*COS(4*P56) -(1-0.002516*L56)*1571*COS(4*R56-Q56)  -1739*COS(R56-2*P56) -4421*COS(2*P56-2*S56) +(1-0.002516*L56)^2*1165*COS(2*Q56+P56) +8752*COS(2*R56-P56-2*S56))/1000</f>
        <v>370917.106795615</v>
      </c>
      <c r="AV56" s="54" t="n">
        <f aca="false">ATAN(0.99664719*TAN($A$10*input!$E$2))</f>
        <v>0.871010436227447</v>
      </c>
      <c r="AW56" s="54" t="n">
        <f aca="false">COS(AV56)</f>
        <v>0.644053912545845</v>
      </c>
      <c r="AX56" s="54" t="n">
        <f aca="false">0.99664719*SIN(AV56)</f>
        <v>0.762415269897027</v>
      </c>
      <c r="AY56" s="54" t="n">
        <f aca="false">6378.14/AU56</f>
        <v>0.0171955940644024</v>
      </c>
      <c r="AZ56" s="55" t="n">
        <f aca="false">M56-15*AH56</f>
        <v>-75.2064942501035</v>
      </c>
      <c r="BA56" s="56" t="n">
        <f aca="false">COS($A$10*AG56)*SIN($A$10*AZ56)</f>
        <v>-0.895279365244703</v>
      </c>
      <c r="BB56" s="56" t="n">
        <f aca="false">COS($A$10*AG56)*COS($A$10*AZ56)-AW56*AY56</f>
        <v>0.225359565002539</v>
      </c>
      <c r="BC56" s="56" t="n">
        <f aca="false">SIN($A$10*AG56)-AX56*AY56</f>
        <v>-0.390699387290484</v>
      </c>
      <c r="BD56" s="57" t="n">
        <f aca="false">SQRT(BA56^2+BB56^2+BC56^2)</f>
        <v>1.00247597806643</v>
      </c>
      <c r="BE56" s="58" t="n">
        <f aca="false">AU56*BD56</f>
        <v>371835.489416505</v>
      </c>
    </row>
    <row r="57" customFormat="false" ht="15" hidden="false" customHeight="false" outlineLevel="0" collapsed="false">
      <c r="D57" s="41" t="n">
        <f aca="false">K57-INT(275*E57/9)+IF($A$8="common year",2,1)*INT((E57+9)/12)+30</f>
        <v>25</v>
      </c>
      <c r="E57" s="41" t="n">
        <f aca="false">IF(K57&lt;32,1,INT(9*(IF($A$8="common year",2,1)+K57)/275+0.98))</f>
        <v>2</v>
      </c>
      <c r="F57" s="42" t="n">
        <f aca="false">AM57</f>
        <v>-19.515032556816</v>
      </c>
      <c r="G57" s="60" t="n">
        <f aca="false">F57+1.02/(TAN($A$10*(F57+10.3/(F57+5.11)))*60)</f>
        <v>-19.5611625048865</v>
      </c>
      <c r="H57" s="43" t="n">
        <f aca="false">100*(1+COS($A$10*AQ57))/2</f>
        <v>38.1584000180105</v>
      </c>
      <c r="I57" s="43" t="n">
        <f aca="false">IF(AI57&gt;180,AT57-180,AT57+180)</f>
        <v>107.24259143297</v>
      </c>
      <c r="J57" s="61" t="n">
        <f aca="false">$J$2+K56</f>
        <v>2459635.5</v>
      </c>
      <c r="K57" s="21" t="n">
        <v>56</v>
      </c>
      <c r="L57" s="62" t="n">
        <f aca="false">(J57-2451545)/36525</f>
        <v>0.221505817932923</v>
      </c>
      <c r="M57" s="63" t="n">
        <f aca="false">MOD(280.46061837+360.98564736629*(J57-2451545)+0.000387933*L57^2-L57^3/38710000+$B$7,360)</f>
        <v>169.840654372703</v>
      </c>
      <c r="N57" s="30" t="n">
        <f aca="false">0.606433+1336.855225*L57 - INT(0.606433+1336.855225*L57)</f>
        <v>0.727643071526302</v>
      </c>
      <c r="O57" s="35" t="n">
        <f aca="false">22640*SIN(P57)-4586*SIN(P57-2*R57)+2370*SIN(2*R57)+769*SIN(2*P57)-668*SIN(Q57)-412*SIN(2*S57)-212*SIN(2*P57-2*R57)-206*SIN(P57+Q57-2*R57)+192*SIN(P57+2*R57)-165*SIN(Q57-2*R57)-125*SIN(R57)-110*SIN(P57+Q57)+148*SIN(P57-Q57)-55*SIN(2*S57-2*R57)</f>
        <v>-6275.19249197592</v>
      </c>
      <c r="P57" s="32" t="n">
        <f aca="false">2*PI()*(0.374897+1325.55241*L57 - INT(0.374897+1325.55241*L57))</f>
        <v>6.23585903601972</v>
      </c>
      <c r="Q57" s="36" t="n">
        <f aca="false">2*PI()*(0.993133+99.997361*L57 - INT(0.993133+99.997361*L57))</f>
        <v>0.899313817454588</v>
      </c>
      <c r="R57" s="36" t="n">
        <f aca="false">2*PI()*(0.827361+1236.853086*L57 - INT(0.827361+1236.853086*L57))</f>
        <v>5.01093752915402</v>
      </c>
      <c r="S57" s="36" t="n">
        <f aca="false">2*PI()*(0.259086+1342.227825*L57 - INT(0.259086+1342.227825*L57))</f>
        <v>3.58366644398511</v>
      </c>
      <c r="T57" s="36" t="n">
        <f aca="false">S57+(O57+412*SIN(2*S57)+541*SIN(Q57))/206264.8062</f>
        <v>3.55684163977895</v>
      </c>
      <c r="U57" s="36" t="n">
        <f aca="false">S57-2*R57</f>
        <v>-6.43820861432294</v>
      </c>
      <c r="V57" s="34" t="n">
        <f aca="false">-526*SIN(U57)+44*SIN(P57+U57)-31*SIN(-P57+U57)-23*SIN(Q57+U57)+11*SIN(-Q57+U57)-25*SIN(-2*P57+S57)+21*SIN(-P57+S57)</f>
        <v>53.4699084949294</v>
      </c>
      <c r="W57" s="36" t="n">
        <f aca="false">2*PI()*(N57+O57/1296000-INT(N57+O57/1296000))</f>
        <v>4.54149326416803</v>
      </c>
      <c r="X57" s="35" t="n">
        <f aca="false">W57*180/PI()</f>
        <v>260.20839672392</v>
      </c>
      <c r="Y57" s="36" t="n">
        <f aca="false">(18520*SIN(T57)+V57)/206264.8062</f>
        <v>-0.0359626410047739</v>
      </c>
      <c r="Z57" s="36" t="n">
        <f aca="false">Y57*180/PI()</f>
        <v>-2.06050754971766</v>
      </c>
      <c r="AA57" s="36" t="n">
        <f aca="false">COS(Y57)*COS(W57)</f>
        <v>-0.169955123622036</v>
      </c>
      <c r="AB57" s="36" t="n">
        <f aca="false">COS(Y57)*SIN(W57)</f>
        <v>-0.984795665030077</v>
      </c>
      <c r="AC57" s="36" t="n">
        <f aca="false">SIN(Y57)</f>
        <v>-0.0359548896895493</v>
      </c>
      <c r="AD57" s="36" t="n">
        <f aca="false">COS($A$10*(23.4393-46.815*L57/3600))*AB57-SIN($A$10*(23.4393-46.815*L57/3600))*AC57</f>
        <v>-0.889251609008406</v>
      </c>
      <c r="AE57" s="36" t="n">
        <f aca="false">SIN($A$10*(23.4393-46.815*L57/3600))*AB57+COS($A$10*(23.4393-46.815*L57/3600))*AC57</f>
        <v>-0.424672617236594</v>
      </c>
      <c r="AF57" s="36" t="n">
        <f aca="false">SQRT(1-AE57*AE57)</f>
        <v>0.905346987717649</v>
      </c>
      <c r="AG57" s="35" t="n">
        <f aca="false">ATAN(AE57/AF57)/$A$10</f>
        <v>-25.1299429126594</v>
      </c>
      <c r="AH57" s="36" t="n">
        <f aca="false">IF(24*ATAN(AD57/(AA57+AF57))/PI()&gt;0,24*ATAN(AD57/(AA57+AF57))/PI(),24*ATAN(AD57/(AA57+AF57))/PI()+24)</f>
        <v>17.278668396793</v>
      </c>
      <c r="AI57" s="63" t="n">
        <f aca="false">IF(M57-15*AH57&gt;0,M57-15*AH57,360+M57-15*AH57)</f>
        <v>270.660628420809</v>
      </c>
      <c r="AJ57" s="32" t="n">
        <f aca="false">0.950724+0.051818*COS(P57)+0.009531*COS(2*R57-P57)+0.007843*COS(2*R57)+0.002824*COS(2*P57)+0.000857*COS(2*R57+P57)+0.000533*COS(2*R57-Q57)*(1-0.002495*(J57-2415020)/36525)+0.000401*COS(2*R57-Q57-P57)*(1-0.002495*(J57-2415020)/36525)+0.00032*COS(P57-Q57)*(1-0.002495*(J57-2415020)/36525)-0.000271*COS(R57)</f>
        <v>0.989671742815889</v>
      </c>
      <c r="AK57" s="36" t="n">
        <f aca="false">ASIN(COS($A$10*$B$5)*COS($A$10*AG57)*COS($A$10*AI57)+SIN($A$10*$B$5)*SIN($A$10*AG57))/$A$10</f>
        <v>-18.5787834322213</v>
      </c>
      <c r="AL57" s="32" t="n">
        <f aca="false">ASIN((0.9983271+0.0016764*COS($A$10*2*$B$5))*COS($A$10*AK57)*SIN($A$10*AJ57))/$A$10</f>
        <v>0.936249124594759</v>
      </c>
      <c r="AM57" s="32" t="n">
        <f aca="false">AK57-AL57</f>
        <v>-19.515032556816</v>
      </c>
      <c r="AN57" s="35" t="n">
        <f aca="false"> MOD(280.4664567 + 360007.6982779*L57/10 + 0.03032028*L57^2/100 + L57^3/49931000,360)</f>
        <v>334.846438496319</v>
      </c>
      <c r="AO57" s="32" t="n">
        <f aca="false"> AN57 + (1.9146 - 0.004817*L57 - 0.000014*L57^2)*SIN(Q57)+ (0.019993 - 0.000101*L57)*SIN(2*Q57)+ 0.00029*SIN(3*Q57)</f>
        <v>336.364122344688</v>
      </c>
      <c r="AP57" s="32" t="n">
        <f aca="false">ACOS(COS(W57-$A$10*AO57)*COS(Y57))/$A$10</f>
        <v>76.1648553325197</v>
      </c>
      <c r="AQ57" s="34" t="n">
        <f aca="false">180 - AP57 -0.1468*(1-0.0549*SIN(Q57))*SIN($A$10*AP57)/(1-0.0167*SIN($A$10*AO57))</f>
        <v>103.699637523229</v>
      </c>
      <c r="AR57" s="64" t="n">
        <f aca="false">SIN($A$10*AI57)</f>
        <v>-0.999933528659811</v>
      </c>
      <c r="AS57" s="64" t="n">
        <f aca="false">COS($A$10*AI57)*SIN($A$10*$B$5) - TAN($A$10*AG57)*COS($A$10*$B$5)</f>
        <v>0.310345857907066</v>
      </c>
      <c r="AT57" s="24" t="n">
        <f aca="false">IF(OR(AND(AR57*AS57&gt;0), AND(AR57&lt;0,AS57&gt;0)), MOD(ATAN2(AS57,AR57)/$A$10+360,360),  ATAN2(AS57,AR57)/$A$10)</f>
        <v>287.24259143297</v>
      </c>
      <c r="AU57" s="39" t="n">
        <f aca="false"> 385000.56 + (-20905355*COS(P57) - 3699111*COS(2*R57-P57) - 2955968*COS(2*R57) - 569925*COS(2*P57) + (1-0.002516*L57)*48888*COS(Q57) - 3149*COS(2*S57)  +246158*COS(2*R57-2*P57) -(1 - 0.002516*L57)*152138*COS(2*R57-Q57-P57) -170733*COS(2*R57+P57) -(1 - 0.002516*L57)*204586*COS(2*R57-Q57) -(1 - 0.002516*L57)*129620*COS(Q57-P57)  + 108743*COS(R57) +(1-0.002516*L57)*104755*COS(Q57+P57) +10321*COS(2*R57-2*S57) +79661*COS(P57-2*S57) -34782*COS(4*R57-P57) -23210*COS(3*P57)  -21636*COS(4*R57-2*P57) +(1 - 0.002516*L57)*24208*COS(2*R57+Q57-P57) +(1 - 0.002516*L57)*30824*COS(2*R57+Q57) -8379*COS(R57-P57) -(1 - 0.002516*L57)*16675*COS(R57+Q57)  -(1 - 0.002516*L57)*12831*COS(2*R57-Q57+P57) -10445*COS(2*R57+2*P57) -11650*COS(4*R57) +14403*COS(2*R57-3*P57) -(1-0.002516*L57)*7003*COS(Q57-2*P57)  + (1 - 0.002516*L57)*10056*COS(2*R57-Q57-2*P57) +6322*COS(R57+P57) -(1 - 0.002516*L57)*(1-0.002516*L57)*9884*COS(2*R57-2*Q57) +(1-0.002516*L57)*5751*COS(Q57+2*P57) - (1-0.002516*L57)^2*4950*COS(2*R57-2*Q57-P57)  +4130*COS(2*R57+P57-2*S57) -(1-0.002516*L57)*3958*COS(4*R57-Q57-P57) +3258*COS(3*R57-P57) +(1 - 0.002516*L57)*2616*COS(2*R57+Q57+P57) -(1 - 0.002516*L57)*1897*COS(4*R57-Q57-2*P57)  -(1-0.002516*L57)^2*2117*COS(2*Q57-P57) +(1-0.002516*L57)^2*2354*COS(2*R57+2*Q57-P57) -1423*COS(4*R57+P57) -1117*COS(4*P57) -(1-0.002516*L57)*1571*COS(4*R57-Q57)  -1739*COS(R57-2*P57) -4421*COS(2*P57-2*S57) +(1-0.002516*L57)^2*1165*COS(2*Q57+P57) +8752*COS(2*R57-P57-2*S57))/1000</f>
        <v>369259.781143645</v>
      </c>
      <c r="AV57" s="54" t="n">
        <f aca="false">ATAN(0.99664719*TAN($A$10*input!$E$2))</f>
        <v>0.871010436227447</v>
      </c>
      <c r="AW57" s="54" t="n">
        <f aca="false">COS(AV57)</f>
        <v>0.644053912545845</v>
      </c>
      <c r="AX57" s="54" t="n">
        <f aca="false">0.99664719*SIN(AV57)</f>
        <v>0.762415269897027</v>
      </c>
      <c r="AY57" s="54" t="n">
        <f aca="false">6378.14/AU57</f>
        <v>0.0172727719770783</v>
      </c>
      <c r="AZ57" s="55" t="n">
        <f aca="false">M57-15*AH57</f>
        <v>-89.3393715791912</v>
      </c>
      <c r="BA57" s="56" t="n">
        <f aca="false">COS($A$10*AG57)*SIN($A$10*AZ57)</f>
        <v>-0.905286808090039</v>
      </c>
      <c r="BB57" s="56" t="n">
        <f aca="false">COS($A$10*AG57)*COS($A$10*AZ57)-AW57*AY57</f>
        <v>-0.000686049176033125</v>
      </c>
      <c r="BC57" s="56" t="n">
        <f aca="false">SIN($A$10*AG57)-AX57*AY57</f>
        <v>-0.437841642345368</v>
      </c>
      <c r="BD57" s="57" t="n">
        <f aca="false">SQRT(BA57^2+BB57^2+BC57^2)</f>
        <v>1.00560925778207</v>
      </c>
      <c r="BE57" s="58" t="n">
        <f aca="false">AU57*BD57</f>
        <v>371331.054444631</v>
      </c>
    </row>
    <row r="58" customFormat="false" ht="15" hidden="false" customHeight="false" outlineLevel="0" collapsed="false">
      <c r="D58" s="41" t="n">
        <f aca="false">K58-INT(275*E58/9)+IF($A$8="common year",2,1)*INT((E58+9)/12)+30</f>
        <v>26</v>
      </c>
      <c r="E58" s="41" t="n">
        <f aca="false">IF(K58&lt;32,1,INT(9*(IF($A$8="common year",2,1)+K58)/275+0.98))</f>
        <v>2</v>
      </c>
      <c r="F58" s="42" t="n">
        <f aca="false">AM58</f>
        <v>-29.7032297213379</v>
      </c>
      <c r="G58" s="60" t="n">
        <f aca="false">F58+1.02/(TAN($A$10*(F58+10.3/(F58+5.11)))*60)</f>
        <v>-29.7325302723356</v>
      </c>
      <c r="H58" s="43" t="n">
        <f aca="false">100*(1+COS($A$10*AQ58))/2</f>
        <v>27.3636618671968</v>
      </c>
      <c r="I58" s="43" t="n">
        <f aca="false">IF(AI58&gt;180,AT58-180,AT58+180)</f>
        <v>97.8163631928754</v>
      </c>
      <c r="J58" s="61" t="n">
        <f aca="false">$J$2+K57</f>
        <v>2459636.5</v>
      </c>
      <c r="K58" s="21" t="n">
        <v>57</v>
      </c>
      <c r="L58" s="62" t="n">
        <f aca="false">(J58-2451545)/36525</f>
        <v>0.221533196440794</v>
      </c>
      <c r="M58" s="63" t="n">
        <f aca="false">MOD(280.46061837+360.98564736629*(J58-2451545)+0.000387933*L58^2-L58^3/38710000+$B$7,360)</f>
        <v>170.826301743742</v>
      </c>
      <c r="N58" s="30" t="n">
        <f aca="false">0.606433+1336.855225*L58 - INT(0.606433+1336.855225*L58)</f>
        <v>0.764244172826807</v>
      </c>
      <c r="O58" s="35" t="n">
        <f aca="false">22640*SIN(P58)-4586*SIN(P58-2*R58)+2370*SIN(2*R58)+769*SIN(2*P58)-668*SIN(Q58)-412*SIN(2*S58)-212*SIN(2*P58-2*R58)-206*SIN(P58+Q58-2*R58)+192*SIN(P58+2*R58)-165*SIN(Q58-2*R58)-125*SIN(R58)-110*SIN(P58+Q58)+148*SIN(P58-Q58)-55*SIN(2*S58-2*R58)</f>
        <v>-2416.7726177165</v>
      </c>
      <c r="P58" s="32" t="n">
        <f aca="false">2*PI()*(0.374897+1325.55241*L58 - INT(0.374897+1325.55241*L58))</f>
        <v>0.180700872615946</v>
      </c>
      <c r="Q58" s="36" t="n">
        <f aca="false">2*PI()*(0.993133+99.997361*L58 - INT(0.993133+99.997361*L58))</f>
        <v>0.916515787321573</v>
      </c>
      <c r="R58" s="36" t="n">
        <f aca="false">2*PI()*(0.827361+1236.853086*L58 - INT(0.827361+1236.853086*L58))</f>
        <v>5.22370623927305</v>
      </c>
      <c r="S58" s="36" t="n">
        <f aca="false">2*PI()*(0.259086+1342.227825*L58 - INT(0.259086+1342.227825*L58))</f>
        <v>3.81456216332611</v>
      </c>
      <c r="T58" s="36" t="n">
        <f aca="false">S58+(O58+412*SIN(2*S58)+541*SIN(Q58))/206264.8062</f>
        <v>3.80687365629159</v>
      </c>
      <c r="U58" s="36" t="n">
        <f aca="false">S58-2*R58</f>
        <v>-6.63285031521998</v>
      </c>
      <c r="V58" s="34" t="n">
        <f aca="false">-526*SIN(U58)+44*SIN(P58+U58)-31*SIN(-P58+U58)-23*SIN(Q58+U58)+11*SIN(-Q58+U58)-25*SIN(-2*P58+S58)+21*SIN(-P58+S58)</f>
        <v>163.375482033424</v>
      </c>
      <c r="W58" s="36" t="n">
        <f aca="false">2*PI()*(N58+O58/1296000-INT(N58+O58/1296000))</f>
        <v>4.79017091351101</v>
      </c>
      <c r="X58" s="35" t="n">
        <f aca="false">W58*180/PI()</f>
        <v>274.456576490507</v>
      </c>
      <c r="Y58" s="36" t="n">
        <f aca="false">(18520*SIN(T58)+V58)/206264.8062</f>
        <v>-0.0546319784804983</v>
      </c>
      <c r="Z58" s="36" t="n">
        <f aca="false">Y58*180/PI()</f>
        <v>-3.13018179338209</v>
      </c>
      <c r="AA58" s="36" t="n">
        <f aca="false">COS(Y58)*COS(W58)</f>
        <v>0.0775875961590678</v>
      </c>
      <c r="AB58" s="36" t="n">
        <f aca="false">COS(Y58)*SIN(W58)</f>
        <v>-0.995489065762549</v>
      </c>
      <c r="AC58" s="36" t="n">
        <f aca="false">SIN(Y58)</f>
        <v>-0.0546048062853875</v>
      </c>
      <c r="AD58" s="36" t="n">
        <f aca="false">COS($A$10*(23.4393-46.815*L58/3600))*AB58-SIN($A$10*(23.4393-46.815*L58/3600))*AC58</f>
        <v>-0.891645175120808</v>
      </c>
      <c r="AE58" s="36" t="n">
        <f aca="false">SIN($A$10*(23.4393-46.815*L58/3600))*AB58+COS($A$10*(23.4393-46.815*L58/3600))*AC58</f>
        <v>-0.446037046226029</v>
      </c>
      <c r="AF58" s="36" t="n">
        <f aca="false">SQRT(1-AE58*AE58)</f>
        <v>0.895014498985329</v>
      </c>
      <c r="AG58" s="35" t="n">
        <f aca="false">ATAN(AE58/AF58)/$A$10</f>
        <v>-26.4897077909832</v>
      </c>
      <c r="AH58" s="36" t="n">
        <f aca="false">IF(24*ATAN(AD58/(AA58+AF58))/PI()&gt;0,24*ATAN(AD58/(AA58+AF58))/PI(),24*ATAN(AD58/(AA58+AF58))/PI()+24)</f>
        <v>18.3315423812559</v>
      </c>
      <c r="AI58" s="63" t="n">
        <f aca="false">IF(M58-15*AH58&gt;0,M58-15*AH58,360+M58-15*AH58)</f>
        <v>255.853166024903</v>
      </c>
      <c r="AJ58" s="32" t="n">
        <f aca="false">0.950724+0.051818*COS(P58)+0.009531*COS(2*R58-P58)+0.007843*COS(2*R58)+0.002824*COS(2*P58)+0.000857*COS(2*R58+P58)+0.000533*COS(2*R58-Q58)*(1-0.002495*(J58-2415020)/36525)+0.000401*COS(2*R58-Q58-P58)*(1-0.002495*(J58-2415020)/36525)+0.00032*COS(P58-Q58)*(1-0.002495*(J58-2415020)/36525)-0.000271*COS(R58)</f>
        <v>0.992773835308596</v>
      </c>
      <c r="AK58" s="36" t="n">
        <f aca="false">ASIN(COS($A$10*$B$5)*COS($A$10*AG58)*COS($A$10*AI58)+SIN($A$10*$B$5)*SIN($A$10*AG58))/$A$10</f>
        <v>-28.8352682301769</v>
      </c>
      <c r="AL58" s="32" t="n">
        <f aca="false">ASIN((0.9983271+0.0016764*COS($A$10*2*$B$5))*COS($A$10*AK58)*SIN($A$10*AJ58))/$A$10</f>
        <v>0.867961491161043</v>
      </c>
      <c r="AM58" s="32" t="n">
        <f aca="false">AK58-AL58</f>
        <v>-29.7032297213379</v>
      </c>
      <c r="AN58" s="35" t="n">
        <f aca="false"> MOD(280.4664567 + 360007.6982779*L58/10 + 0.03032028*L58^2/100 + L58^3/49931000,360)</f>
        <v>335.832085860098</v>
      </c>
      <c r="AO58" s="32" t="n">
        <f aca="false"> AN58 + (1.9146 - 0.004817*L58 - 0.000014*L58^2)*SIN(Q58)+ (0.019993 - 0.000101*L58)*SIN(2*Q58)+ 0.00029*SIN(3*Q58)</f>
        <v>337.369845530999</v>
      </c>
      <c r="AP58" s="32" t="n">
        <f aca="false">ACOS(COS(W58-$A$10*AO58)*COS(Y58))/$A$10</f>
        <v>62.9569792716864</v>
      </c>
      <c r="AQ58" s="34" t="n">
        <f aca="false">180 - AP58 -0.1468*(1-0.0549*SIN(Q58))*SIN($A$10*AP58)/(1-0.0167*SIN($A$10*AO58))</f>
        <v>116.918765262379</v>
      </c>
      <c r="AR58" s="64" t="n">
        <f aca="false">SIN($A$10*AI58)</f>
        <v>-0.969672558662535</v>
      </c>
      <c r="AS58" s="64" t="n">
        <f aca="false">COS($A$10*AI58)*SIN($A$10*$B$5) - TAN($A$10*AG58)*COS($A$10*$B$5)</f>
        <v>0.133110755723132</v>
      </c>
      <c r="AT58" s="24" t="n">
        <f aca="false">IF(OR(AND(AR58*AS58&gt;0), AND(AR58&lt;0,AS58&gt;0)), MOD(ATAN2(AS58,AR58)/$A$10+360,360),  ATAN2(AS58,AR58)/$A$10)</f>
        <v>277.816363192875</v>
      </c>
      <c r="AU58" s="39" t="n">
        <f aca="false"> 385000.56 + (-20905355*COS(P58) - 3699111*COS(2*R58-P58) - 2955968*COS(2*R58) - 569925*COS(2*P58) + (1-0.002516*L58)*48888*COS(Q58) - 3149*COS(2*S58)  +246158*COS(2*R58-2*P58) -(1 - 0.002516*L58)*152138*COS(2*R58-Q58-P58) -170733*COS(2*R58+P58) -(1 - 0.002516*L58)*204586*COS(2*R58-Q58) -(1 - 0.002516*L58)*129620*COS(Q58-P58)  + 108743*COS(R58) +(1-0.002516*L58)*104755*COS(Q58+P58) +10321*COS(2*R58-2*S58) +79661*COS(P58-2*S58) -34782*COS(4*R58-P58) -23210*COS(3*P58)  -21636*COS(4*R58-2*P58) +(1 - 0.002516*L58)*24208*COS(2*R58+Q58-P58) +(1 - 0.002516*L58)*30824*COS(2*R58+Q58) -8379*COS(R58-P58) -(1 - 0.002516*L58)*16675*COS(R58+Q58)  -(1 - 0.002516*L58)*12831*COS(2*R58-Q58+P58) -10445*COS(2*R58+2*P58) -11650*COS(4*R58) +14403*COS(2*R58-3*P58) -(1-0.002516*L58)*7003*COS(Q58-2*P58)  + (1 - 0.002516*L58)*10056*COS(2*R58-Q58-2*P58) +6322*COS(R58+P58) -(1 - 0.002516*L58)*(1-0.002516*L58)*9884*COS(2*R58-2*Q58) +(1-0.002516*L58)*5751*COS(Q58+2*P58) - (1-0.002516*L58)^2*4950*COS(2*R58-2*Q58-P58)  +4130*COS(2*R58+P58-2*S58) -(1-0.002516*L58)*3958*COS(4*R58-Q58-P58) +3258*COS(3*R58-P58) +(1 - 0.002516*L58)*2616*COS(2*R58+Q58+P58) -(1 - 0.002516*L58)*1897*COS(4*R58-Q58-2*P58)  -(1-0.002516*L58)^2*2117*COS(2*Q58-P58) +(1-0.002516*L58)^2*2354*COS(2*R58+2*Q58-P58) -1423*COS(4*R58+P58) -1117*COS(4*P58) -(1-0.002516*L58)*1571*COS(4*R58-Q58)  -1739*COS(R58-2*P58) -4421*COS(2*P58-2*S58) +(1-0.002516*L58)^2*1165*COS(2*Q58+P58) +8752*COS(2*R58-P58-2*S58))/1000</f>
        <v>368160.723586173</v>
      </c>
      <c r="AV58" s="54" t="n">
        <f aca="false">ATAN(0.99664719*TAN($A$10*input!$E$2))</f>
        <v>0.871010436227447</v>
      </c>
      <c r="AW58" s="54" t="n">
        <f aca="false">COS(AV58)</f>
        <v>0.644053912545845</v>
      </c>
      <c r="AX58" s="54" t="n">
        <f aca="false">0.99664719*SIN(AV58)</f>
        <v>0.762415269897027</v>
      </c>
      <c r="AY58" s="54" t="n">
        <f aca="false">6378.14/AU58</f>
        <v>0.0173243357897386</v>
      </c>
      <c r="AZ58" s="55" t="n">
        <f aca="false">M58-15*AH58</f>
        <v>-104.146833975097</v>
      </c>
      <c r="BA58" s="56" t="n">
        <f aca="false">COS($A$10*AG58)*SIN($A$10*AZ58)</f>
        <v>-0.86787099927117</v>
      </c>
      <c r="BB58" s="56" t="n">
        <f aca="false">COS($A$10*AG58)*COS($A$10*AZ58)-AW58*AY58</f>
        <v>-0.229906250854725</v>
      </c>
      <c r="BC58" s="56" t="n">
        <f aca="false">SIN($A$10*AG58)-AX58*AY58</f>
        <v>-0.45924538437295</v>
      </c>
      <c r="BD58" s="57" t="n">
        <f aca="false">SQRT(BA58^2+BB58^2+BC58^2)</f>
        <v>1.00844597209066</v>
      </c>
      <c r="BE58" s="58" t="n">
        <f aca="false">AU58*BD58</f>
        <v>371270.198782458</v>
      </c>
    </row>
    <row r="59" customFormat="false" ht="15" hidden="false" customHeight="false" outlineLevel="0" collapsed="false">
      <c r="D59" s="41" t="n">
        <f aca="false">K59-INT(275*E59/9)+IF($A$8="common year",2,1)*INT((E59+9)/12)+30</f>
        <v>27</v>
      </c>
      <c r="E59" s="41" t="n">
        <f aca="false">IF(K59&lt;32,1,INT(9*(IF($A$8="common year",2,1)+K59)/275+0.98))</f>
        <v>2</v>
      </c>
      <c r="F59" s="42" t="n">
        <f aca="false">AM59</f>
        <v>-38.9709134005208</v>
      </c>
      <c r="G59" s="60" t="n">
        <f aca="false">F59+1.02/(TAN($A$10*(F59+10.3/(F59+5.11)))*60)</f>
        <v>-38.9917017684456</v>
      </c>
      <c r="H59" s="43" t="n">
        <f aca="false">100*(1+COS($A$10*AQ59))/2</f>
        <v>17.7182978097113</v>
      </c>
      <c r="I59" s="43" t="n">
        <f aca="false">IF(AI59&gt;180,AT59-180,AT59+180)</f>
        <v>86.1497927170507</v>
      </c>
      <c r="J59" s="61" t="n">
        <f aca="false">$J$2+K58</f>
        <v>2459637.5</v>
      </c>
      <c r="K59" s="21" t="n">
        <v>58</v>
      </c>
      <c r="L59" s="62" t="n">
        <f aca="false">(J59-2451545)/36525</f>
        <v>0.221560574948665</v>
      </c>
      <c r="M59" s="63" t="n">
        <f aca="false">MOD(280.46061837+360.98564736629*(J59-2451545)+0.000387933*L59^2-L59^3/38710000+$B$7,360)</f>
        <v>171.811949114781</v>
      </c>
      <c r="N59" s="30" t="n">
        <f aca="false">0.606433+1336.855225*L59 - INT(0.606433+1336.855225*L59)</f>
        <v>0.800845274127312</v>
      </c>
      <c r="O59" s="35" t="n">
        <f aca="false">22640*SIN(P59)-4586*SIN(P59-2*R59)+2370*SIN(2*R59)+769*SIN(2*P59)-668*SIN(Q59)-412*SIN(2*S59)-212*SIN(2*P59-2*R59)-206*SIN(P59+Q59-2*R59)+192*SIN(P59+2*R59)-165*SIN(Q59-2*R59)-125*SIN(R59)-110*SIN(P59+Q59)+148*SIN(P59-Q59)-55*SIN(2*S59-2*R59)</f>
        <v>1835.18310932566</v>
      </c>
      <c r="P59" s="32" t="n">
        <f aca="false">2*PI()*(0.374897+1325.55241*L59 - INT(0.374897+1325.55241*L59))</f>
        <v>0.408728016391764</v>
      </c>
      <c r="Q59" s="36" t="n">
        <f aca="false">2*PI()*(0.993133+99.997361*L59 - INT(0.993133+99.997361*L59))</f>
        <v>0.93371775718858</v>
      </c>
      <c r="R59" s="36" t="n">
        <f aca="false">2*PI()*(0.827361+1236.853086*L59 - INT(0.827361+1236.853086*L59))</f>
        <v>5.43647494939171</v>
      </c>
      <c r="S59" s="36" t="n">
        <f aca="false">2*PI()*(0.259086+1342.227825*L59 - INT(0.259086+1342.227825*L59))</f>
        <v>4.04545788266711</v>
      </c>
      <c r="T59" s="36" t="n">
        <f aca="false">S59+(O59+412*SIN(2*S59)+541*SIN(Q59))/206264.8062</f>
        <v>4.05840506735514</v>
      </c>
      <c r="U59" s="36" t="n">
        <f aca="false">S59-2*R59</f>
        <v>-6.82749201611631</v>
      </c>
      <c r="V59" s="34" t="n">
        <f aca="false">-526*SIN(U59)+44*SIN(P59+U59)-31*SIN(-P59+U59)-23*SIN(Q59+U59)+11*SIN(-Q59+U59)-25*SIN(-2*P59+S59)+21*SIN(-P59+S59)</f>
        <v>264.194135177401</v>
      </c>
      <c r="W59" s="36" t="n">
        <f aca="false">2*PI()*(N59+O59/1296000-INT(N59+O59/1296000))</f>
        <v>5.04075647850836</v>
      </c>
      <c r="X59" s="35" t="n">
        <f aca="false">W59*180/PI()</f>
        <v>288.814071771756</v>
      </c>
      <c r="Y59" s="36" t="n">
        <f aca="false">(18520*SIN(T59)+V59)/206264.8062</f>
        <v>-0.0699804745746185</v>
      </c>
      <c r="Z59" s="36" t="n">
        <f aca="false">Y59*180/PI()</f>
        <v>-4.00958584144821</v>
      </c>
      <c r="AA59" s="36" t="n">
        <f aca="false">COS(Y59)*COS(W59)</f>
        <v>0.321708823780874</v>
      </c>
      <c r="AB59" s="36" t="n">
        <f aca="false">COS(Y59)*SIN(W59)</f>
        <v>-0.944253226136403</v>
      </c>
      <c r="AC59" s="36" t="n">
        <f aca="false">SIN(Y59)</f>
        <v>-0.0699233697165818</v>
      </c>
      <c r="AD59" s="36" t="n">
        <f aca="false">COS($A$10*(23.4393-46.815*L59/3600))*AB59-SIN($A$10*(23.4393-46.815*L59/3600))*AC59</f>
        <v>-0.83854352244388</v>
      </c>
      <c r="AE59" s="36" t="n">
        <f aca="false">SIN($A$10*(23.4393-46.815*L59/3600))*AB59+COS($A$10*(23.4393-46.815*L59/3600))*AC59</f>
        <v>-0.43971376333808</v>
      </c>
      <c r="AF59" s="36" t="n">
        <f aca="false">SQRT(1-AE59*AE59)</f>
        <v>0.898137966200663</v>
      </c>
      <c r="AG59" s="35" t="n">
        <f aca="false">ATAN(AE59/AF59)/$A$10</f>
        <v>-26.0856195414318</v>
      </c>
      <c r="AH59" s="36" t="n">
        <f aca="false">IF(24*ATAN(AD59/(AA59+AF59))/PI()&gt;0,24*ATAN(AD59/(AA59+AF59))/PI(),24*ATAN(AD59/(AA59+AF59))/PI()+24)</f>
        <v>19.399293750524</v>
      </c>
      <c r="AI59" s="63" t="n">
        <f aca="false">IF(M59-15*AH59&gt;0,M59-15*AH59,360+M59-15*AH59)</f>
        <v>240.82254285692</v>
      </c>
      <c r="AJ59" s="32" t="n">
        <f aca="false">0.950724+0.051818*COS(P59)+0.009531*COS(2*R59-P59)+0.007843*COS(2*R59)+0.002824*COS(2*P59)+0.000857*COS(2*R59+P59)+0.000533*COS(2*R59-Q59)*(1-0.002495*(J59-2415020)/36525)+0.000401*COS(2*R59-Q59-P59)*(1-0.002495*(J59-2415020)/36525)+0.00032*COS(P59-Q59)*(1-0.002495*(J59-2415020)/36525)-0.000271*COS(R59)</f>
        <v>0.993895006551285</v>
      </c>
      <c r="AK59" s="36" t="n">
        <f aca="false">ASIN(COS($A$10*$B$5)*COS($A$10*AG59)*COS($A$10*AI59)+SIN($A$10*$B$5)*SIN($A$10*AG59))/$A$10</f>
        <v>-38.1913101776221</v>
      </c>
      <c r="AL59" s="32" t="n">
        <f aca="false">ASIN((0.9983271+0.0016764*COS($A$10*2*$B$5))*COS($A$10*AK59)*SIN($A$10*AJ59))/$A$10</f>
        <v>0.77960322289862</v>
      </c>
      <c r="AM59" s="32" t="n">
        <f aca="false">AK59-AL59</f>
        <v>-38.9709134005208</v>
      </c>
      <c r="AN59" s="35" t="n">
        <f aca="false"> MOD(280.4664567 + 360007.6982779*L59/10 + 0.03032028*L59^2/100 + L59^3/49931000,360)</f>
        <v>336.817733223883</v>
      </c>
      <c r="AO59" s="32" t="n">
        <f aca="false"> AN59 + (1.9146 - 0.004817*L59 - 0.000014*L59^2)*SIN(Q59)+ (0.019993 - 0.000101*L59)*SIN(2*Q59)+ 0.00029*SIN(3*Q59)</f>
        <v>338.375096308358</v>
      </c>
      <c r="AP59" s="32" t="n">
        <f aca="false">ACOS(COS(W59-$A$10*AO59)*COS(Y59))/$A$10</f>
        <v>49.6804360071264</v>
      </c>
      <c r="AQ59" s="34" t="n">
        <f aca="false">180 - AP59 -0.1468*(1-0.0549*SIN(Q59))*SIN($A$10*AP59)/(1-0.0167*SIN($A$10*AO59))</f>
        <v>130.213230554858</v>
      </c>
      <c r="AR59" s="64" t="n">
        <f aca="false">SIN($A$10*AI59)</f>
        <v>-0.873113956656847</v>
      </c>
      <c r="AS59" s="64" t="n">
        <f aca="false">COS($A$10*AI59)*SIN($A$10*$B$5) - TAN($A$10*AG59)*COS($A$10*$B$5)</f>
        <v>-0.0587606796265714</v>
      </c>
      <c r="AT59" s="24" t="n">
        <f aca="false">IF(OR(AND(AR59*AS59&gt;0), AND(AR59&lt;0,AS59&gt;0)), MOD(ATAN2(AS59,AR59)/$A$10+360,360),  ATAN2(AS59,AR59)/$A$10)</f>
        <v>266.149792717051</v>
      </c>
      <c r="AU59" s="39" t="n">
        <f aca="false"> 385000.56 + (-20905355*COS(P59) - 3699111*COS(2*R59-P59) - 2955968*COS(2*R59) - 569925*COS(2*P59) + (1-0.002516*L59)*48888*COS(Q59) - 3149*COS(2*S59)  +246158*COS(2*R59-2*P59) -(1 - 0.002516*L59)*152138*COS(2*R59-Q59-P59) -170733*COS(2*R59+P59) -(1 - 0.002516*L59)*204586*COS(2*R59-Q59) -(1 - 0.002516*L59)*129620*COS(Q59-P59)  + 108743*COS(R59) +(1-0.002516*L59)*104755*COS(Q59+P59) +10321*COS(2*R59-2*S59) +79661*COS(P59-2*S59) -34782*COS(4*R59-P59) -23210*COS(3*P59)  -21636*COS(4*R59-2*P59) +(1 - 0.002516*L59)*24208*COS(2*R59+Q59-P59) +(1 - 0.002516*L59)*30824*COS(2*R59+Q59) -8379*COS(R59-P59) -(1 - 0.002516*L59)*16675*COS(R59+Q59)  -(1 - 0.002516*L59)*12831*COS(2*R59-Q59+P59) -10445*COS(2*R59+2*P59) -11650*COS(4*R59) +14403*COS(2*R59-3*P59) -(1-0.002516*L59)*7003*COS(Q59-2*P59)  + (1 - 0.002516*L59)*10056*COS(2*R59-Q59-2*P59) +6322*COS(R59+P59) -(1 - 0.002516*L59)*(1-0.002516*L59)*9884*COS(2*R59-2*Q59) +(1-0.002516*L59)*5751*COS(Q59+2*P59) - (1-0.002516*L59)^2*4950*COS(2*R59-2*Q59-P59)  +4130*COS(2*R59+P59-2*S59) -(1-0.002516*L59)*3958*COS(4*R59-Q59-P59) +3258*COS(3*R59-P59) +(1 - 0.002516*L59)*2616*COS(2*R59+Q59+P59) -(1 - 0.002516*L59)*1897*COS(4*R59-Q59-2*P59)  -(1-0.002516*L59)^2*2117*COS(2*Q59-P59) +(1-0.002516*L59)^2*2354*COS(2*R59+2*Q59-P59) -1423*COS(4*R59+P59) -1117*COS(4*P59) -(1-0.002516*L59)*1571*COS(4*R59-Q59)  -1739*COS(R59-2*P59) -4421*COS(2*P59-2*S59) +(1-0.002516*L59)^2*1165*COS(2*Q59+P59) +8752*COS(2*R59-P59-2*S59))/1000</f>
        <v>367793.704701095</v>
      </c>
      <c r="AV59" s="54" t="n">
        <f aca="false">ATAN(0.99664719*TAN($A$10*input!$E$2))</f>
        <v>0.871010436227447</v>
      </c>
      <c r="AW59" s="54" t="n">
        <f aca="false">COS(AV59)</f>
        <v>0.644053912545845</v>
      </c>
      <c r="AX59" s="54" t="n">
        <f aca="false">0.99664719*SIN(AV59)</f>
        <v>0.762415269897027</v>
      </c>
      <c r="AY59" s="54" t="n">
        <f aca="false">6378.14/AU59</f>
        <v>0.0173416236288859</v>
      </c>
      <c r="AZ59" s="55" t="n">
        <f aca="false">M59-15*AH59</f>
        <v>-119.17745714308</v>
      </c>
      <c r="BA59" s="56" t="n">
        <f aca="false">COS($A$10*AG59)*SIN($A$10*AZ59)</f>
        <v>-0.784176793293194</v>
      </c>
      <c r="BB59" s="56" t="n">
        <f aca="false">COS($A$10*AG59)*COS($A$10*AZ59)-AW59*AY59</f>
        <v>-0.449025724430058</v>
      </c>
      <c r="BC59" s="56" t="n">
        <f aca="false">SIN($A$10*AG59)-AX59*AY59</f>
        <v>-0.452935281997549</v>
      </c>
      <c r="BD59" s="57" t="n">
        <f aca="false">SQRT(BA59^2+BB59^2+BC59^2)</f>
        <v>1.01079558468453</v>
      </c>
      <c r="BE59" s="58" t="n">
        <f aca="false">AU59*BD59</f>
        <v>371764.252786631</v>
      </c>
    </row>
    <row r="60" customFormat="false" ht="15" hidden="false" customHeight="false" outlineLevel="0" collapsed="false">
      <c r="D60" s="41" t="n">
        <f aca="false">K60-INT(275*E60/9)+IF($A$8="common year",2,1)*INT((E60+9)/12)+30</f>
        <v>28</v>
      </c>
      <c r="E60" s="41" t="n">
        <f aca="false">IF(K60&lt;32,1,INT(9*(IF($A$8="common year",2,1)+K60)/275+0.98))</f>
        <v>2</v>
      </c>
      <c r="F60" s="42" t="n">
        <f aca="false">AM60</f>
        <v>-46.5923037685704</v>
      </c>
      <c r="G60" s="60" t="n">
        <f aca="false">F60+1.02/(TAN($A$10*(F60+10.3/(F60+5.11)))*60)</f>
        <v>-46.6082451757725</v>
      </c>
      <c r="H60" s="43" t="n">
        <f aca="false">100*(1+COS($A$10*AQ60))/2</f>
        <v>9.80663213645306</v>
      </c>
      <c r="I60" s="43" t="n">
        <f aca="false">IF(AI60&gt;180,AT60-180,AT60+180)</f>
        <v>71.1755021269346</v>
      </c>
      <c r="J60" s="61" t="n">
        <f aca="false">$J$2+K59</f>
        <v>2459638.5</v>
      </c>
      <c r="K60" s="21" t="n">
        <v>59</v>
      </c>
      <c r="L60" s="62" t="n">
        <f aca="false">(J60-2451545)/36525</f>
        <v>0.221587953456537</v>
      </c>
      <c r="M60" s="63" t="n">
        <f aca="false">MOD(280.46061837+360.98564736629*(J60-2451545)+0.000387933*L60^2-L60^3/38710000+$B$7,360)</f>
        <v>172.79759648582</v>
      </c>
      <c r="N60" s="30" t="n">
        <f aca="false">0.606433+1336.855225*L60 - INT(0.606433+1336.855225*L60)</f>
        <v>0.83744637542776</v>
      </c>
      <c r="O60" s="35" t="n">
        <f aca="false">22640*SIN(P60)-4586*SIN(P60-2*R60)+2370*SIN(2*R60)+769*SIN(2*P60)-668*SIN(Q60)-412*SIN(2*S60)-212*SIN(2*P60-2*R60)-206*SIN(P60+Q60-2*R60)+192*SIN(P60+2*R60)-165*SIN(Q60-2*R60)-125*SIN(R60)-110*SIN(P60+Q60)+148*SIN(P60-Q60)-55*SIN(2*S60-2*R60)</f>
        <v>6259.52063288476</v>
      </c>
      <c r="P60" s="32" t="n">
        <f aca="false">2*PI()*(0.374897+1325.55241*L60 - INT(0.374897+1325.55241*L60))</f>
        <v>0.636755160167582</v>
      </c>
      <c r="Q60" s="36" t="n">
        <f aca="false">2*PI()*(0.993133+99.997361*L60 - INT(0.993133+99.997361*L60))</f>
        <v>0.950919727055565</v>
      </c>
      <c r="R60" s="36" t="n">
        <f aca="false">2*PI()*(0.827361+1236.853086*L60 - INT(0.827361+1236.853086*L60))</f>
        <v>5.64924365951074</v>
      </c>
      <c r="S60" s="36" t="n">
        <f aca="false">2*PI()*(0.259086+1342.227825*L60 - INT(0.259086+1342.227825*L60))</f>
        <v>4.27635360200776</v>
      </c>
      <c r="T60" s="36" t="n">
        <f aca="false">S60+(O60+412*SIN(2*S60)+541*SIN(Q60))/206264.8062</f>
        <v>4.31036483627933</v>
      </c>
      <c r="U60" s="36" t="n">
        <f aca="false">S60-2*R60</f>
        <v>-7.02213371701371</v>
      </c>
      <c r="V60" s="34" t="n">
        <f aca="false">-526*SIN(U60)+44*SIN(P60+U60)-31*SIN(-P60+U60)-23*SIN(Q60+U60)+11*SIN(-Q60+U60)-25*SIN(-2*P60+S60)+21*SIN(-P60+S60)</f>
        <v>350.940206524774</v>
      </c>
      <c r="W60" s="36" t="n">
        <f aca="false">2*PI()*(N60+O60/1296000-INT(N60+O60/1296000))</f>
        <v>5.2921777740386</v>
      </c>
      <c r="X60" s="35" t="n">
        <f aca="false">W60*180/PI()</f>
        <v>303.21945088535</v>
      </c>
      <c r="Y60" s="36" t="n">
        <f aca="false">(18520*SIN(T60)+V60)/206264.8062</f>
        <v>-0.0809274087605333</v>
      </c>
      <c r="Z60" s="36" t="n">
        <f aca="false">Y60*180/PI()</f>
        <v>-4.6367989689086</v>
      </c>
      <c r="AA60" s="36" t="n">
        <f aca="false">COS(Y60)*COS(W60)</f>
        <v>0.546054244152186</v>
      </c>
      <c r="AB60" s="36" t="n">
        <f aca="false">COS(Y60)*SIN(W60)</f>
        <v>-0.833840393609157</v>
      </c>
      <c r="AC60" s="36" t="n">
        <f aca="false">SIN(Y60)</f>
        <v>-0.0808391021048028</v>
      </c>
      <c r="AD60" s="36" t="n">
        <f aca="false">COS($A$10*(23.4393-46.815*L60/3600))*AB60-SIN($A$10*(23.4393-46.815*L60/3600))*AC60</f>
        <v>-0.73289800315485</v>
      </c>
      <c r="AE60" s="36" t="n">
        <f aca="false">SIN($A$10*(23.4393-46.815*L60/3600))*AB60+COS($A$10*(23.4393-46.815*L60/3600))*AC60</f>
        <v>-0.405814341066231</v>
      </c>
      <c r="AF60" s="36" t="n">
        <f aca="false">SQRT(1-AE60*AE60)</f>
        <v>0.913955535343477</v>
      </c>
      <c r="AG60" s="35" t="n">
        <f aca="false">ATAN(AE60/AF60)/$A$10</f>
        <v>-23.9421680116168</v>
      </c>
      <c r="AH60" s="36" t="n">
        <f aca="false">IF(24*ATAN(AD60/(AA60+AF60))/PI()&gt;0,24*ATAN(AD60/(AA60+AF60))/PI(),24*ATAN(AD60/(AA60+AF60))/PI()+24)</f>
        <v>20.4458923065931</v>
      </c>
      <c r="AI60" s="63" t="n">
        <f aca="false">IF(M60-15*AH60&gt;0,M60-15*AH60,360+M60-15*AH60)</f>
        <v>226.109211886923</v>
      </c>
      <c r="AJ60" s="32" t="n">
        <f aca="false">0.950724+0.051818*COS(P60)+0.009531*COS(2*R60-P60)+0.007843*COS(2*R60)+0.002824*COS(2*P60)+0.000857*COS(2*R60+P60)+0.000533*COS(2*R60-Q60)*(1-0.002495*(J60-2415020)/36525)+0.000401*COS(2*R60-Q60-P60)*(1-0.002495*(J60-2415020)/36525)+0.00032*COS(P60-Q60)*(1-0.002495*(J60-2415020)/36525)-0.000271*COS(R60)</f>
        <v>0.992503625796103</v>
      </c>
      <c r="AK60" s="36" t="n">
        <f aca="false">ASIN(COS($A$10*$B$5)*COS($A$10*AG60)*COS($A$10*AI60)+SIN($A$10*$B$5)*SIN($A$10*AG60))/$A$10</f>
        <v>-45.9030196611824</v>
      </c>
      <c r="AL60" s="32" t="n">
        <f aca="false">ASIN((0.9983271+0.0016764*COS($A$10*2*$B$5))*COS($A$10*AK60)*SIN($A$10*AJ60))/$A$10</f>
        <v>0.689284107388045</v>
      </c>
      <c r="AM60" s="32" t="n">
        <f aca="false">AK60-AL60</f>
        <v>-46.5923037685704</v>
      </c>
      <c r="AN60" s="35" t="n">
        <f aca="false"> MOD(280.4664567 + 360007.6982779*L60/10 + 0.03032028*L60^2/100 + L60^3/49931000,360)</f>
        <v>337.803380587666</v>
      </c>
      <c r="AO60" s="32" t="n">
        <f aca="false"> AN60 + (1.9146 - 0.004817*L60 - 0.000014*L60^2)*SIN(Q60)+ (0.019993 - 0.000101*L60)*SIN(2*Q60)+ 0.00029*SIN(3*Q60)</f>
        <v>339.379869077433</v>
      </c>
      <c r="AP60" s="32" t="n">
        <f aca="false">ACOS(COS(W60-$A$10*AO60)*COS(Y60))/$A$10</f>
        <v>36.4162225864262</v>
      </c>
      <c r="AQ60" s="34" t="n">
        <f aca="false">180 - AP60 -0.1468*(1-0.0549*SIN(Q60))*SIN($A$10*AP60)/(1-0.0167*SIN($A$10*AO60))</f>
        <v>143.501011092954</v>
      </c>
      <c r="AR60" s="64" t="n">
        <f aca="false">SIN($A$10*AI60)</f>
        <v>-0.720662585957654</v>
      </c>
      <c r="AS60" s="64" t="n">
        <f aca="false">COS($A$10*AI60)*SIN($A$10*$B$5) - TAN($A$10*AG60)*COS($A$10*$B$5)</f>
        <v>-0.245677448573796</v>
      </c>
      <c r="AT60" s="24" t="n">
        <f aca="false">IF(OR(AND(AR60*AS60&gt;0), AND(AR60&lt;0,AS60&gt;0)), MOD(ATAN2(AS60,AR60)/$A$10+360,360),  ATAN2(AS60,AR60)/$A$10)</f>
        <v>251.175502126935</v>
      </c>
      <c r="AU60" s="39" t="n">
        <f aca="false"> 385000.56 + (-20905355*COS(P60) - 3699111*COS(2*R60-P60) - 2955968*COS(2*R60) - 569925*COS(2*P60) + (1-0.002516*L60)*48888*COS(Q60) - 3149*COS(2*S60)  +246158*COS(2*R60-2*P60) -(1 - 0.002516*L60)*152138*COS(2*R60-Q60-P60) -170733*COS(2*R60+P60) -(1 - 0.002516*L60)*204586*COS(2*R60-Q60) -(1 - 0.002516*L60)*129620*COS(Q60-P60)  + 108743*COS(R60) +(1-0.002516*L60)*104755*COS(Q60+P60) +10321*COS(2*R60-2*S60) +79661*COS(P60-2*S60) -34782*COS(4*R60-P60) -23210*COS(3*P60)  -21636*COS(4*R60-2*P60) +(1 - 0.002516*L60)*24208*COS(2*R60+Q60-P60) +(1 - 0.002516*L60)*30824*COS(2*R60+Q60) -8379*COS(R60-P60) -(1 - 0.002516*L60)*16675*COS(R60+Q60)  -(1 - 0.002516*L60)*12831*COS(2*R60-Q60+P60) -10445*COS(2*R60+2*P60) -11650*COS(4*R60) +14403*COS(2*R60-3*P60) -(1-0.002516*L60)*7003*COS(Q60-2*P60)  + (1 - 0.002516*L60)*10056*COS(2*R60-Q60-2*P60) +6322*COS(R60+P60) -(1 - 0.002516*L60)*(1-0.002516*L60)*9884*COS(2*R60-2*Q60) +(1-0.002516*L60)*5751*COS(Q60+2*P60) - (1-0.002516*L60)^2*4950*COS(2*R60-2*Q60-P60)  +4130*COS(2*R60+P60-2*S60) -(1-0.002516*L60)*3958*COS(4*R60-Q60-P60) +3258*COS(3*R60-P60) +(1 - 0.002516*L60)*2616*COS(2*R60+Q60+P60) -(1 - 0.002516*L60)*1897*COS(4*R60-Q60-2*P60)  -(1-0.002516*L60)^2*2117*COS(2*Q60-P60) +(1-0.002516*L60)^2*2354*COS(2*R60+2*Q60-P60) -1423*COS(4*R60+P60) -1117*COS(4*P60) -(1-0.002516*L60)*1571*COS(4*R60-Q60)  -1739*COS(R60-2*P60) -4421*COS(2*P60-2*S60) +(1-0.002516*L60)^2*1165*COS(2*Q60+P60) +8752*COS(2*R60-P60-2*S60))/1000</f>
        <v>368327.376348401</v>
      </c>
      <c r="AV60" s="54" t="n">
        <f aca="false">ATAN(0.99664719*TAN($A$10*input!$E$2))</f>
        <v>0.871010436227447</v>
      </c>
      <c r="AW60" s="54" t="n">
        <f aca="false">COS(AV60)</f>
        <v>0.644053912545845</v>
      </c>
      <c r="AX60" s="54" t="n">
        <f aca="false">0.99664719*SIN(AV60)</f>
        <v>0.762415269897027</v>
      </c>
      <c r="AY60" s="54" t="n">
        <f aca="false">6378.14/AU60</f>
        <v>0.0173164972509861</v>
      </c>
      <c r="AZ60" s="55" t="n">
        <f aca="false">M60-15*AH60</f>
        <v>-133.890788113077</v>
      </c>
      <c r="BA60" s="56" t="n">
        <f aca="false">COS($A$10*AG60)*SIN($A$10*AZ60)</f>
        <v>-0.658653559550941</v>
      </c>
      <c r="BB60" s="56" t="n">
        <f aca="false">COS($A$10*AG60)*COS($A$10*AZ60)-AW60*AY60</f>
        <v>-0.644785308324016</v>
      </c>
      <c r="BC60" s="56" t="n">
        <f aca="false">SIN($A$10*AG60)-AX60*AY60</f>
        <v>-0.419016702991513</v>
      </c>
      <c r="BD60" s="57" t="n">
        <f aca="false">SQRT(BA60^2+BB60^2+BC60^2)</f>
        <v>1.01249572973198</v>
      </c>
      <c r="BE60" s="58" t="n">
        <f aca="false">AU60*BD60</f>
        <v>372929.895696141</v>
      </c>
    </row>
    <row r="61" customFormat="false" ht="15" hidden="false" customHeight="false" outlineLevel="0" collapsed="false">
      <c r="A61" s="11"/>
      <c r="B61" s="69"/>
      <c r="C61" s="69"/>
      <c r="D61" s="70" t="n">
        <f aca="false">K61-INT(275*E61/9)+IF($A$8="common year",2,1)*INT((E61+9)/12)+30</f>
        <v>1</v>
      </c>
      <c r="E61" s="70" t="n">
        <f aca="false">IF(K61&lt;32,1,INT(9*(IF($A$8="common year",2,1)+K61)/275+0.98))</f>
        <v>3</v>
      </c>
      <c r="F61" s="42" t="n">
        <f aca="false">AM61</f>
        <v>-51.5296404566701</v>
      </c>
      <c r="G61" s="60" t="n">
        <f aca="false">F61+1.02/(TAN($A$10*(F61+10.3/(F61+5.11)))*60)</f>
        <v>-51.543041440329</v>
      </c>
      <c r="H61" s="43" t="n">
        <f aca="false">100*(1+COS($A$10*AQ61))/2</f>
        <v>4.09793669331439</v>
      </c>
      <c r="I61" s="43" t="n">
        <f aca="false">IF(AI61&gt;180,AT61-180,AT61+180)</f>
        <v>52.3064640300121</v>
      </c>
      <c r="J61" s="44" t="n">
        <f aca="false">$J$2+K60</f>
        <v>2459639.5</v>
      </c>
      <c r="K61" s="11" t="n">
        <v>60</v>
      </c>
      <c r="L61" s="45" t="n">
        <f aca="false">(J61-2451545)/36525</f>
        <v>0.221615331964408</v>
      </c>
      <c r="M61" s="46" t="n">
        <f aca="false">MOD(280.46061837+360.98564736629*(J61-2451545)+0.000387933*L61^2-L61^3/38710000+$B$7,360)</f>
        <v>173.783243856393</v>
      </c>
      <c r="N61" s="47" t="n">
        <f aca="false">0.606433+1336.855225*L61 - INT(0.606433+1336.855225*L61)</f>
        <v>0.874047476728265</v>
      </c>
      <c r="O61" s="46" t="n">
        <f aca="false">22640*SIN(P61)-4586*SIN(P61-2*R61)+2370*SIN(2*R61)+769*SIN(2*P61)-668*SIN(Q61)-412*SIN(2*S61)-212*SIN(2*P61-2*R61)-206*SIN(P61+Q61-2*R61)+192*SIN(P61+2*R61)-165*SIN(Q61-2*R61)-125*SIN(R61)-110*SIN(P61+Q61)+148*SIN(P61-Q61)-55*SIN(2*S61-2*R61)</f>
        <v>10550.4051583358</v>
      </c>
      <c r="P61" s="48" t="n">
        <f aca="false">2*PI()*(0.374897+1325.55241*L61 - INT(0.374897+1325.55241*L61))</f>
        <v>0.864782303943043</v>
      </c>
      <c r="Q61" s="51" t="n">
        <f aca="false">2*PI()*(0.993133+99.997361*L61 - INT(0.993133+99.997361*L61))</f>
        <v>0.968121696922573</v>
      </c>
      <c r="R61" s="51" t="n">
        <f aca="false">2*PI()*(0.827361+1236.853086*L61 - INT(0.827361+1236.853086*L61))</f>
        <v>5.86201236962976</v>
      </c>
      <c r="S61" s="51" t="n">
        <f aca="false">2*PI()*(0.259086+1342.227825*L61 - INT(0.259086+1342.227825*L61))</f>
        <v>4.50724932134877</v>
      </c>
      <c r="T61" s="51" t="n">
        <f aca="false">S61+(O61+412*SIN(2*S61)+541*SIN(Q61))/206264.8062</f>
        <v>4.56135659195015</v>
      </c>
      <c r="U61" s="51" t="n">
        <f aca="false">S61-2*R61</f>
        <v>-7.21677541791076</v>
      </c>
      <c r="V61" s="50" t="n">
        <f aca="false">-526*SIN(U61)+44*SIN(P61+U61)-31*SIN(-P61+U61)-23*SIN(Q61+U61)+11*SIN(-Q61+U61)-25*SIN(-2*P61+S61)+21*SIN(-P61+S61)</f>
        <v>419.774325574348</v>
      </c>
      <c r="W61" s="51" t="n">
        <f aca="false">2*PI()*(N61+O61/1296000-INT(N61+O61/1296000))</f>
        <v>5.54295207117652</v>
      </c>
      <c r="X61" s="46" t="n">
        <f aca="false">W61*180/PI()</f>
        <v>317.587759721713</v>
      </c>
      <c r="Y61" s="51" t="n">
        <f aca="false">(18520*SIN(T61)+V61)/206264.8062</f>
        <v>-0.0867302540695325</v>
      </c>
      <c r="Z61" s="51" t="n">
        <f aca="false">Y61*180/PI()</f>
        <v>-4.96927751428154</v>
      </c>
      <c r="AA61" s="51" t="n">
        <f aca="false">COS(Y61)*COS(W61)</f>
        <v>0.735536171386635</v>
      </c>
      <c r="AB61" s="51" t="n">
        <f aca="false">COS(Y61)*SIN(W61)</f>
        <v>-0.671925029711479</v>
      </c>
      <c r="AC61" s="51" t="n">
        <f aca="false">SIN(Y61)</f>
        <v>-0.0866215621489233</v>
      </c>
      <c r="AD61" s="51" t="n">
        <f aca="false">COS($A$10*(23.4393-46.815*L61/3600))*AB61-SIN($A$10*(23.4393-46.815*L61/3600))*AC61</f>
        <v>-0.582040469854975</v>
      </c>
      <c r="AE61" s="51" t="n">
        <f aca="false">SIN($A$10*(23.4393-46.815*L61/3600))*AB61+COS($A$10*(23.4393-46.815*L61/3600))*AC61</f>
        <v>-0.346720971435089</v>
      </c>
      <c r="AF61" s="51" t="n">
        <f aca="false">SQRT(1-AE61*AE61)</f>
        <v>0.937968319276887</v>
      </c>
      <c r="AG61" s="46" t="n">
        <f aca="false">ATAN(AE61/AF61)/$A$10</f>
        <v>-20.2868857123504</v>
      </c>
      <c r="AH61" s="51" t="n">
        <f aca="false">IF(24*ATAN(AD61/(AA61+AF61))/PI()&gt;0,24*ATAN(AD61/(AA61+AF61))/PI(),24*ATAN(AD61/(AA61+AF61))/PI()+24)</f>
        <v>21.4429945981615</v>
      </c>
      <c r="AI61" s="46" t="n">
        <f aca="false">IF(M61-15*AH61&gt;0,M61-15*AH61,360+M61-15*AH61)</f>
        <v>212.138324883971</v>
      </c>
      <c r="AJ61" s="48" t="n">
        <f aca="false">0.950724+0.051818*COS(P61)+0.009531*COS(2*R61-P61)+0.007843*COS(2*R61)+0.002824*COS(2*P61)+0.000857*COS(2*R61+P61)+0.000533*COS(2*R61-Q61)*(1-0.002495*(J61-2415020)/36525)+0.000401*COS(2*R61-Q61-P61)*(1-0.002495*(J61-2415020)/36525)+0.00032*COS(P61-Q61)*(1-0.002495*(J61-2415020)/36525)-0.000271*COS(R61)</f>
        <v>0.988266737686178</v>
      </c>
      <c r="AK61" s="51" t="n">
        <f aca="false">ASIN(COS($A$10*$B$5)*COS($A$10*AG61)*COS($A$10*AI61)+SIN($A$10*$B$5)*SIN($A$10*AG61))/$A$10</f>
        <v>-50.9077102861609</v>
      </c>
      <c r="AL61" s="48" t="n">
        <f aca="false">ASIN((0.9983271+0.0016764*COS($A$10*2*$B$5))*COS($A$10*AK61)*SIN($A$10*AJ61))/$A$10</f>
        <v>0.621930170509209</v>
      </c>
      <c r="AM61" s="48" t="n">
        <f aca="false">AK61-AL61</f>
        <v>-51.5296404566701</v>
      </c>
      <c r="AN61" s="46" t="n">
        <f aca="false"> MOD(280.4664567 + 360007.6982779*L61/10 + 0.03032028*L61^2/100 + L61^3/49931000,360)</f>
        <v>338.789027951449</v>
      </c>
      <c r="AO61" s="48" t="n">
        <f aca="false"> AN61 + (1.9146 - 0.004817*L61 - 0.000014*L61^2)*SIN(Q61)+ (0.019993 - 0.000101*L61)*SIN(2*Q61)+ 0.00029*SIN(3*Q61)</f>
        <v>340.38415840102</v>
      </c>
      <c r="AP61" s="48" t="n">
        <f aca="false">ACOS(COS(W61-$A$10*AO61)*COS(Y61))/$A$10</f>
        <v>23.3034738222691</v>
      </c>
      <c r="AQ61" s="50" t="n">
        <f aca="false">180 - AP61 -0.1468*(1-0.0549*SIN(Q61))*SIN($A$10*AP61)/(1-0.0167*SIN($A$10*AO61))</f>
        <v>156.641387625586</v>
      </c>
      <c r="AR61" s="44" t="n">
        <f aca="false">SIN($A$10*AI61)</f>
        <v>-0.531965096561921</v>
      </c>
      <c r="AS61" s="44" t="n">
        <f aca="false">COS($A$10*AI61)*SIN($A$10*$B$5) - TAN($A$10*AG61)*COS($A$10*$B$5)</f>
        <v>-0.411053491784457</v>
      </c>
      <c r="AT61" s="71" t="n">
        <f aca="false">IF(OR(AND(AR61*AS61&gt;0), AND(AR61&lt;0,AS61&gt;0)), MOD(ATAN2(AS61,AR61)/$A$10+360,360),  ATAN2(AS61,AR61)/$A$10)</f>
        <v>232.306464030012</v>
      </c>
      <c r="AU61" s="39" t="n">
        <f aca="false"> 385000.56 + (-20905355*COS(P61) - 3699111*COS(2*R61-P61) - 2955968*COS(2*R61) - 569925*COS(2*P61) + (1-0.002516*L61)*48888*COS(Q61) - 3149*COS(2*S61)  +246158*COS(2*R61-2*P61) -(1 - 0.002516*L61)*152138*COS(2*R61-Q61-P61) -170733*COS(2*R61+P61) -(1 - 0.002516*L61)*204586*COS(2*R61-Q61) -(1 - 0.002516*L61)*129620*COS(Q61-P61)  + 108743*COS(R61) +(1-0.002516*L61)*104755*COS(Q61+P61) +10321*COS(2*R61-2*S61) +79661*COS(P61-2*S61) -34782*COS(4*R61-P61) -23210*COS(3*P61)  -21636*COS(4*R61-2*P61) +(1 - 0.002516*L61)*24208*COS(2*R61+Q61-P61) +(1 - 0.002516*L61)*30824*COS(2*R61+Q61) -8379*COS(R61-P61) -(1 - 0.002516*L61)*16675*COS(R61+Q61)  -(1 - 0.002516*L61)*12831*COS(2*R61-Q61+P61) -10445*COS(2*R61+2*P61) -11650*COS(4*R61) +14403*COS(2*R61-3*P61) -(1-0.002516*L61)*7003*COS(Q61-2*P61)  + (1 - 0.002516*L61)*10056*COS(2*R61-Q61-2*P61) +6322*COS(R61+P61) -(1 - 0.002516*L61)*(1-0.002516*L61)*9884*COS(2*R61-2*Q61) +(1-0.002516*L61)*5751*COS(Q61+2*P61) - (1-0.002516*L61)^2*4950*COS(2*R61-2*Q61-P61)  +4130*COS(2*R61+P61-2*S61) -(1-0.002516*L61)*3958*COS(4*R61-Q61-P61) +3258*COS(3*R61-P61) +(1 - 0.002516*L61)*2616*COS(2*R61+Q61+P61) -(1 - 0.002516*L61)*1897*COS(4*R61-Q61-2*P61)  -(1-0.002516*L61)^2*2117*COS(2*Q61-P61) +(1-0.002516*L61)^2*2354*COS(2*R61+2*Q61-P61) -1423*COS(4*R61+P61) -1117*COS(4*P61) -(1-0.002516*L61)*1571*COS(4*R61-Q61)  -1739*COS(R61-2*P61) -4421*COS(2*P61-2*S61) +(1-0.002516*L61)^2*1165*COS(2*Q61+P61) +8752*COS(2*R61-P61-2*S61))/1000</f>
        <v>369882.385744718</v>
      </c>
      <c r="AV61" s="72" t="n">
        <f aca="false">ATAN(0.99664719*TAN($A$10*input!$E$2))</f>
        <v>0.871010436227447</v>
      </c>
      <c r="AW61" s="72" t="n">
        <f aca="false">COS(AV61)</f>
        <v>0.644053912545845</v>
      </c>
      <c r="AX61" s="72" t="n">
        <f aca="false">0.99664719*SIN(AV61)</f>
        <v>0.762415269897027</v>
      </c>
      <c r="AY61" s="72" t="n">
        <f aca="false">6378.14/AU61</f>
        <v>0.017243697580133</v>
      </c>
      <c r="AZ61" s="73" t="n">
        <f aca="false">M61-15*AH61</f>
        <v>-147.861675116029</v>
      </c>
      <c r="BA61" s="74" t="n">
        <f aca="false">COS($A$10*AG61)*SIN($A$10*AZ61)</f>
        <v>-0.498966407536151</v>
      </c>
      <c r="BB61" s="74" t="n">
        <f aca="false">COS($A$10*AG61)*COS($A$10*AZ61)-AW61*AY61</f>
        <v>-0.805345817079265</v>
      </c>
      <c r="BC61" s="74" t="n">
        <f aca="false">SIN($A$10*AG61)-AX61*AY61</f>
        <v>-0.359867829779669</v>
      </c>
      <c r="BD61" s="75" t="n">
        <f aca="false">SQRT(BA61^2+BB61^2+BC61^2)</f>
        <v>1.01343683367387</v>
      </c>
      <c r="BE61" s="58" t="n">
        <f aca="false">AU61*BD61</f>
        <v>374852.433840866</v>
      </c>
      <c r="BH61" s="69"/>
      <c r="BI61" s="69"/>
      <c r="BJ61" s="69"/>
      <c r="BK61" s="69"/>
      <c r="BL61" s="69"/>
    </row>
    <row r="62" customFormat="false" ht="15" hidden="false" customHeight="false" outlineLevel="0" collapsed="false">
      <c r="D62" s="41" t="n">
        <f aca="false">K62-INT(275*E62/9)+IF($A$8="common year",2,1)*INT((E62+9)/12)+30</f>
        <v>2</v>
      </c>
      <c r="E62" s="41" t="n">
        <f aca="false">IF(K62&lt;32,1,INT(9*(IF($A$8="common year",2,1)+K62)/275+0.98))</f>
        <v>3</v>
      </c>
      <c r="F62" s="42" t="n">
        <f aca="false">AM62</f>
        <v>-52.7710963056279</v>
      </c>
      <c r="G62" s="60" t="n">
        <f aca="false">F62+1.02/(TAN($A$10*(F62+10.3/(F62+5.11)))*60)</f>
        <v>-52.7839126773479</v>
      </c>
      <c r="H62" s="43" t="n">
        <f aca="false">100*(1+COS($A$10*AQ62))/2</f>
        <v>0.886596456273908</v>
      </c>
      <c r="I62" s="43" t="n">
        <f aca="false">IF(AI62&gt;180,AT62-180,AT62+180)</f>
        <v>30.9394230300014</v>
      </c>
      <c r="J62" s="61" t="n">
        <f aca="false">$J$2+K61</f>
        <v>2459640.5</v>
      </c>
      <c r="K62" s="21" t="n">
        <v>61</v>
      </c>
      <c r="L62" s="62" t="n">
        <f aca="false">(J62-2451545)/36525</f>
        <v>0.221642710472279</v>
      </c>
      <c r="M62" s="63" t="n">
        <f aca="false">MOD(280.46061837+360.98564736629*(J62-2451545)+0.000387933*L62^2-L62^3/38710000+$B$7,360)</f>
        <v>174.768891227432</v>
      </c>
      <c r="N62" s="30" t="n">
        <f aca="false">0.606433+1336.855225*L62 - INT(0.606433+1336.855225*L62)</f>
        <v>0.910648578028713</v>
      </c>
      <c r="O62" s="35" t="n">
        <f aca="false">22640*SIN(P62)-4586*SIN(P62-2*R62)+2370*SIN(2*R62)+769*SIN(2*P62)-668*SIN(Q62)-412*SIN(2*S62)-212*SIN(2*P62-2*R62)-206*SIN(P62+Q62-2*R62)+192*SIN(P62+2*R62)-165*SIN(Q62-2*R62)-125*SIN(R62)-110*SIN(P62+Q62)+148*SIN(P62-Q62)-55*SIN(2*S62-2*R62)</f>
        <v>14353.245050415</v>
      </c>
      <c r="P62" s="32" t="n">
        <f aca="false">2*PI()*(0.374897+1325.55241*L62 - INT(0.374897+1325.55241*L62))</f>
        <v>1.09280944771886</v>
      </c>
      <c r="Q62" s="36" t="n">
        <f aca="false">2*PI()*(0.993133+99.997361*L62 - INT(0.993133+99.997361*L62))</f>
        <v>0.985323666789557</v>
      </c>
      <c r="R62" s="36" t="n">
        <f aca="false">2*PI()*(0.827361+1236.853086*L62 - INT(0.827361+1236.853086*L62))</f>
        <v>6.07478107974878</v>
      </c>
      <c r="S62" s="36" t="n">
        <f aca="false">2*PI()*(0.259086+1342.227825*L62 - INT(0.259086+1342.227825*L62))</f>
        <v>4.73814504068977</v>
      </c>
      <c r="T62" s="36" t="n">
        <f aca="false">S62+(O62+412*SIN(2*S62)+541*SIN(Q62))/206264.8062</f>
        <v>4.80981470018907</v>
      </c>
      <c r="U62" s="36" t="n">
        <f aca="false">S62-2*R62</f>
        <v>-7.4114171188078</v>
      </c>
      <c r="V62" s="34" t="n">
        <f aca="false">-526*SIN(U62)+44*SIN(P62+U62)-31*SIN(-P62+U62)-23*SIN(Q62+U62)+11*SIN(-Q62+U62)-25*SIN(-2*P62+S62)+21*SIN(-P62+S62)</f>
        <v>468.269072607789</v>
      </c>
      <c r="W62" s="36" t="n">
        <f aca="false">2*PI()*(N62+O62/1296000-INT(N62+O62/1296000))</f>
        <v>5.79136026116158</v>
      </c>
      <c r="X62" s="35" t="n">
        <f aca="false">W62*180/PI()</f>
        <v>331.820500604341</v>
      </c>
      <c r="Y62" s="36" t="n">
        <f aca="false">(18520*SIN(T62)+V62)/206264.8062</f>
        <v>-0.0870914770208271</v>
      </c>
      <c r="Z62" s="36" t="n">
        <f aca="false">Y62*180/PI()</f>
        <v>-4.98997406485398</v>
      </c>
      <c r="AA62" s="36" t="n">
        <f aca="false">COS(Y62)*COS(W62)</f>
        <v>0.878131636747091</v>
      </c>
      <c r="AB62" s="36" t="n">
        <f aca="false">COS(Y62)*SIN(W62)</f>
        <v>-0.470445598152947</v>
      </c>
      <c r="AC62" s="36" t="n">
        <f aca="false">SIN(Y62)</f>
        <v>-0.0869814217082633</v>
      </c>
      <c r="AD62" s="36" t="n">
        <f aca="false">COS($A$10*(23.4393-46.815*L62/3600))*AB62-SIN($A$10*(23.4393-46.815*L62/3600))*AC62</f>
        <v>-0.397039561330564</v>
      </c>
      <c r="AE62" s="36" t="n">
        <f aca="false">SIN($A$10*(23.4393-46.815*L62/3600))*AB62+COS($A$10*(23.4393-46.815*L62/3600))*AC62</f>
        <v>-0.26691649496108</v>
      </c>
      <c r="AF62" s="36" t="n">
        <f aca="false">SQRT(1-AE62*AE62)</f>
        <v>0.963719660854593</v>
      </c>
      <c r="AG62" s="35" t="n">
        <f aca="false">ATAN(AE62/AF62)/$A$10</f>
        <v>-15.4808623983643</v>
      </c>
      <c r="AH62" s="36" t="n">
        <f aca="false">IF(24*ATAN(AD62/(AA62+AF62))/PI()&gt;0,24*ATAN(AD62/(AA62+AF62))/PI(),24*ATAN(AD62/(AA62+AF62))/PI()+24)</f>
        <v>22.3780206995765</v>
      </c>
      <c r="AI62" s="63" t="n">
        <f aca="false">IF(M62-15*AH62&gt;0,M62-15*AH62,360+M62-15*AH62)</f>
        <v>199.098580733784</v>
      </c>
      <c r="AJ62" s="32" t="n">
        <f aca="false">0.950724+0.051818*COS(P62)+0.009531*COS(2*R62-P62)+0.007843*COS(2*R62)+0.002824*COS(2*P62)+0.000857*COS(2*R62+P62)+0.000533*COS(2*R62-Q62)*(1-0.002495*(J62-2415020)/36525)+0.000401*COS(2*R62-Q62-P62)*(1-0.002495*(J62-2415020)/36525)+0.00032*COS(P62-Q62)*(1-0.002495*(J62-2415020)/36525)-0.000271*COS(R62)</f>
        <v>0.981175941814693</v>
      </c>
      <c r="AK62" s="36" t="n">
        <f aca="false">ASIN(COS($A$10*$B$5)*COS($A$10*AG62)*COS($A$10*AI62)+SIN($A$10*$B$5)*SIN($A$10*AG62))/$A$10</f>
        <v>-52.1705281721236</v>
      </c>
      <c r="AL62" s="32" t="n">
        <f aca="false">ASIN((0.9983271+0.0016764*COS($A$10*2*$B$5))*COS($A$10*AK62)*SIN($A$10*AJ62))/$A$10</f>
        <v>0.600568133504238</v>
      </c>
      <c r="AM62" s="32" t="n">
        <f aca="false">AK62-AL62</f>
        <v>-52.7710963056279</v>
      </c>
      <c r="AN62" s="35" t="n">
        <f aca="false"> MOD(280.4664567 + 360007.6982779*L62/10 + 0.03032028*L62^2/100 + L62^3/49931000,360)</f>
        <v>339.77467531523</v>
      </c>
      <c r="AO62" s="32" t="n">
        <f aca="false"> AN62 + (1.9146 - 0.004817*L62 - 0.000014*L62^2)*SIN(Q62)+ (0.019993 - 0.000101*L62)*SIN(2*Q62)+ 0.00029*SIN(3*Q62)</f>
        <v>341.387959005321</v>
      </c>
      <c r="AP62" s="32" t="n">
        <f aca="false">ACOS(COS(W62-$A$10*AO62)*COS(Y62))/$A$10</f>
        <v>10.7798015604696</v>
      </c>
      <c r="AQ62" s="34" t="n">
        <f aca="false">180 - AP62 -0.1468*(1-0.0549*SIN(Q62))*SIN($A$10*AP62)/(1-0.0167*SIN($A$10*AO62))</f>
        <v>169.194136928596</v>
      </c>
      <c r="AR62" s="64" t="n">
        <f aca="false">SIN($A$10*AI62)</f>
        <v>-0.327194491673535</v>
      </c>
      <c r="AS62" s="64" t="n">
        <f aca="false">COS($A$10*AI62)*SIN($A$10*$B$5) - TAN($A$10*AG62)*COS($A$10*$B$5)</f>
        <v>-0.545849482445734</v>
      </c>
      <c r="AT62" s="24" t="n">
        <f aca="false">IF(OR(AND(AR62*AS62&gt;0), AND(AR62&lt;0,AS62&gt;0)), MOD(ATAN2(AS62,AR62)/$A$10+360,360),  ATAN2(AS62,AR62)/$A$10)</f>
        <v>210.939423030001</v>
      </c>
      <c r="AU62" s="39" t="n">
        <f aca="false"> 385000.56 + (-20905355*COS(P62) - 3699111*COS(2*R62-P62) - 2955968*COS(2*R62) - 569925*COS(2*P62) + (1-0.002516*L62)*48888*COS(Q62) - 3149*COS(2*S62)  +246158*COS(2*R62-2*P62) -(1 - 0.002516*L62)*152138*COS(2*R62-Q62-P62) -170733*COS(2*R62+P62) -(1 - 0.002516*L62)*204586*COS(2*R62-Q62) -(1 - 0.002516*L62)*129620*COS(Q62-P62)  + 108743*COS(R62) +(1-0.002516*L62)*104755*COS(Q62+P62) +10321*COS(2*R62-2*S62) +79661*COS(P62-2*S62) -34782*COS(4*R62-P62) -23210*COS(3*P62)  -21636*COS(4*R62-2*P62) +(1 - 0.002516*L62)*24208*COS(2*R62+Q62-P62) +(1 - 0.002516*L62)*30824*COS(2*R62+Q62) -8379*COS(R62-P62) -(1 - 0.002516*L62)*16675*COS(R62+Q62)  -(1 - 0.002516*L62)*12831*COS(2*R62-Q62+P62) -10445*COS(2*R62+2*P62) -11650*COS(4*R62) +14403*COS(2*R62-3*P62) -(1-0.002516*L62)*7003*COS(Q62-2*P62)  + (1 - 0.002516*L62)*10056*COS(2*R62-Q62-2*P62) +6322*COS(R62+P62) -(1 - 0.002516*L62)*(1-0.002516*L62)*9884*COS(2*R62-2*Q62) +(1-0.002516*L62)*5751*COS(Q62+2*P62) - (1-0.002516*L62)^2*4950*COS(2*R62-2*Q62-P62)  +4130*COS(2*R62+P62-2*S62) -(1-0.002516*L62)*3958*COS(4*R62-Q62-P62) +3258*COS(3*R62-P62) +(1 - 0.002516*L62)*2616*COS(2*R62+Q62+P62) -(1 - 0.002516*L62)*1897*COS(4*R62-Q62-2*P62)  -(1-0.002516*L62)^2*2117*COS(2*Q62-P62) +(1-0.002516*L62)^2*2354*COS(2*R62+2*Q62-P62) -1423*COS(4*R62+P62) -1117*COS(4*P62) -(1-0.002516*L62)*1571*COS(4*R62-Q62)  -1739*COS(R62-2*P62) -4421*COS(2*P62-2*S62) +(1-0.002516*L62)^2*1165*COS(2*Q62+P62) +8752*COS(2*R62-P62-2*S62))/1000</f>
        <v>372490.434521365</v>
      </c>
      <c r="AV62" s="54" t="n">
        <f aca="false">ATAN(0.99664719*TAN($A$10*input!$E$2))</f>
        <v>0.871010436227447</v>
      </c>
      <c r="AW62" s="54" t="n">
        <f aca="false">COS(AV62)</f>
        <v>0.644053912545845</v>
      </c>
      <c r="AX62" s="54" t="n">
        <f aca="false">0.99664719*SIN(AV62)</f>
        <v>0.762415269897027</v>
      </c>
      <c r="AY62" s="54" t="n">
        <f aca="false">6378.14/AU62</f>
        <v>0.0171229631928553</v>
      </c>
      <c r="AZ62" s="55" t="n">
        <f aca="false">M62-15*AH62</f>
        <v>-160.901419266216</v>
      </c>
      <c r="BA62" s="56" t="n">
        <f aca="false">COS($A$10*AG62)*SIN($A$10*AZ62)</f>
        <v>-0.315323764549109</v>
      </c>
      <c r="BB62" s="56" t="n">
        <f aca="false">COS($A$10*AG62)*COS($A$10*AZ62)-AW62*AY62</f>
        <v>-0.921701767710988</v>
      </c>
      <c r="BC62" s="56" t="n">
        <f aca="false">SIN($A$10*AG62)-AX62*AY62</f>
        <v>-0.279971303565198</v>
      </c>
      <c r="BD62" s="57" t="n">
        <f aca="false">SQRT(BA62^2+BB62^2+BC62^2)</f>
        <v>1.01358135140253</v>
      </c>
      <c r="BE62" s="58" t="n">
        <f aca="false">AU62*BD62</f>
        <v>377549.35800668</v>
      </c>
    </row>
    <row r="63" customFormat="false" ht="15" hidden="false" customHeight="false" outlineLevel="0" collapsed="false">
      <c r="D63" s="41" t="n">
        <f aca="false">K63-INT(275*E63/9)+IF($A$8="common year",2,1)*INT((E63+9)/12)+30</f>
        <v>3</v>
      </c>
      <c r="E63" s="41" t="n">
        <f aca="false">IF(K63&lt;32,1,INT(9*(IF($A$8="common year",2,1)+K63)/275+0.98))</f>
        <v>3</v>
      </c>
      <c r="F63" s="42" t="n">
        <f aca="false">AM63</f>
        <v>-50.1454776803247</v>
      </c>
      <c r="G63" s="60" t="n">
        <f aca="false">F63+1.02/(TAN($A$10*(F63+10.3/(F63+5.11)))*60)</f>
        <v>-50.1595542090295</v>
      </c>
      <c r="H63" s="43" t="n">
        <f aca="false">100*(1+COS($A$10*AQ63))/2</f>
        <v>0.25924690668625</v>
      </c>
      <c r="I63" s="43" t="n">
        <f aca="false">IF(AI63&gt;180,AT63-180,AT63+180)</f>
        <v>10.5875063549209</v>
      </c>
      <c r="J63" s="61" t="n">
        <f aca="false">$J$2+K62</f>
        <v>2459641.5</v>
      </c>
      <c r="K63" s="21" t="n">
        <v>62</v>
      </c>
      <c r="L63" s="62" t="n">
        <f aca="false">(J63-2451545)/36525</f>
        <v>0.221670088980151</v>
      </c>
      <c r="M63" s="63" t="n">
        <f aca="false">MOD(280.46061837+360.98564736629*(J63-2451545)+0.000387933*L63^2-L63^3/38710000+$B$7,360)</f>
        <v>175.754538598936</v>
      </c>
      <c r="N63" s="30" t="n">
        <f aca="false">0.606433+1336.855225*L63 - INT(0.606433+1336.855225*L63)</f>
        <v>0.947249679329218</v>
      </c>
      <c r="O63" s="35" t="n">
        <f aca="false">22640*SIN(P63)-4586*SIN(P63-2*R63)+2370*SIN(2*R63)+769*SIN(2*P63)-668*SIN(Q63)-412*SIN(2*S63)-212*SIN(2*P63-2*R63)-206*SIN(P63+Q63-2*R63)+192*SIN(P63+2*R63)-165*SIN(Q63-2*R63)-125*SIN(R63)-110*SIN(P63+Q63)+148*SIN(P63-Q63)-55*SIN(2*S63-2*R63)</f>
        <v>17316.999267038</v>
      </c>
      <c r="P63" s="32" t="n">
        <f aca="false">2*PI()*(0.374897+1325.55241*L63 - INT(0.374897+1325.55241*L63))</f>
        <v>1.32083659149468</v>
      </c>
      <c r="Q63" s="36" t="n">
        <f aca="false">2*PI()*(0.993133+99.997361*L63 - INT(0.993133+99.997361*L63))</f>
        <v>1.00252563665654</v>
      </c>
      <c r="R63" s="36" t="n">
        <f aca="false">2*PI()*(0.827361+1236.853086*L63 - INT(0.827361+1236.853086*L63))</f>
        <v>0.00436448268822259</v>
      </c>
      <c r="S63" s="36" t="n">
        <f aca="false">2*PI()*(0.259086+1342.227825*L63 - INT(0.259086+1342.227825*L63))</f>
        <v>4.96904076003077</v>
      </c>
      <c r="T63" s="36" t="n">
        <f aca="false">S63+(O63+412*SIN(2*S63)+541*SIN(Q63))/206264.8062</f>
        <v>5.0542257045885</v>
      </c>
      <c r="U63" s="36" t="n">
        <f aca="false">S63-2*R63</f>
        <v>4.96031179465433</v>
      </c>
      <c r="V63" s="34" t="n">
        <f aca="false">-526*SIN(U63)+44*SIN(P63+U63)-31*SIN(-P63+U63)-23*SIN(Q63+U63)+11*SIN(-Q63+U63)-25*SIN(-2*P63+S63)+21*SIN(-P63+S63)</f>
        <v>495.491313660155</v>
      </c>
      <c r="W63" s="36" t="n">
        <f aca="false">2*PI()*(N63+O63/1296000-INT(N63+O63/1296000))</f>
        <v>6.03570044899616</v>
      </c>
      <c r="X63" s="35" t="n">
        <f aca="false">W63*180/PI()</f>
        <v>345.820162132696</v>
      </c>
      <c r="Y63" s="36" t="n">
        <f aca="false">(18520*SIN(T63)+V63)/206264.8062</f>
        <v>-0.0821902292435162</v>
      </c>
      <c r="Z63" s="36" t="n">
        <f aca="false">Y63*180/PI()</f>
        <v>-4.7091532528662</v>
      </c>
      <c r="AA63" s="36" t="n">
        <f aca="false">COS(Y63)*COS(W63)</f>
        <v>0.966258749143978</v>
      </c>
      <c r="AB63" s="36" t="n">
        <f aca="false">COS(Y63)*SIN(W63)</f>
        <v>-0.244139290747736</v>
      </c>
      <c r="AC63" s="36" t="n">
        <f aca="false">SIN(Y63)</f>
        <v>-0.0820977247913003</v>
      </c>
      <c r="AD63" s="36" t="n">
        <f aca="false">COS($A$10*(23.4393-46.815*L63/3600))*AB63-SIN($A$10*(23.4393-46.815*L63/3600))*AC63</f>
        <v>-0.191345468958389</v>
      </c>
      <c r="AE63" s="36" t="n">
        <f aca="false">SIN($A$10*(23.4393-46.815*L63/3600))*AB63+COS($A$10*(23.4393-46.815*L63/3600))*AC63</f>
        <v>-0.172426625588421</v>
      </c>
      <c r="AF63" s="36" t="n">
        <f aca="false">SQRT(1-AE63*AE63)</f>
        <v>0.985022364613205</v>
      </c>
      <c r="AG63" s="35" t="n">
        <f aca="false">ATAN(AE63/AF63)/$A$10</f>
        <v>-9.92893826837556</v>
      </c>
      <c r="AH63" s="36" t="n">
        <f aca="false">IF(24*ATAN(AD63/(AA63+AF63))/PI()&gt;0,24*ATAN(AD63/(AA63+AF63))/PI(),24*ATAN(AD63/(AA63+AF63))/PI()+24)</f>
        <v>23.2532531289087</v>
      </c>
      <c r="AI63" s="63" t="n">
        <f aca="false">IF(M63-15*AH63&gt;0,M63-15*AH63,360+M63-15*AH63)</f>
        <v>186.955741665306</v>
      </c>
      <c r="AJ63" s="32" t="n">
        <f aca="false">0.950724+0.051818*COS(P63)+0.009531*COS(2*R63-P63)+0.007843*COS(2*R63)+0.002824*COS(2*P63)+0.000857*COS(2*R63+P63)+0.000533*COS(2*R63-Q63)*(1-0.002495*(J63-2415020)/36525)+0.000401*COS(2*R63-Q63-P63)*(1-0.002495*(J63-2415020)/36525)+0.00032*COS(P63-Q63)*(1-0.002495*(J63-2415020)/36525)-0.000271*COS(R63)</f>
        <v>0.971600322645405</v>
      </c>
      <c r="AK63" s="36" t="n">
        <f aca="false">ASIN(COS($A$10*$B$5)*COS($A$10*AG63)*COS($A$10*AI63)+SIN($A$10*$B$5)*SIN($A$10*AG63))/$A$10</f>
        <v>-49.5159356523819</v>
      </c>
      <c r="AL63" s="32" t="n">
        <f aca="false">ASIN((0.9983271+0.0016764*COS($A$10*2*$B$5))*COS($A$10*AK63)*SIN($A$10*AJ63))/$A$10</f>
        <v>0.629542027942775</v>
      </c>
      <c r="AM63" s="32" t="n">
        <f aca="false">AK63-AL63</f>
        <v>-50.1454776803247</v>
      </c>
      <c r="AN63" s="35" t="n">
        <f aca="false"> MOD(280.4664567 + 360007.6982779*L63/10 + 0.03032028*L63^2/100 + L63^3/49931000,360)</f>
        <v>340.760322679014</v>
      </c>
      <c r="AO63" s="32" t="n">
        <f aca="false"> AN63 + (1.9146 - 0.004817*L63 - 0.000014*L63^2)*SIN(Q63)+ (0.019993 - 0.000101*L63)*SIN(2*Q63)+ 0.00029*SIN(3*Q63)</f>
        <v>342.391265781183</v>
      </c>
      <c r="AP63" s="32" t="n">
        <f aca="false">ACOS(COS(W63-$A$10*AO63)*COS(Y63))/$A$10</f>
        <v>5.82296846960783</v>
      </c>
      <c r="AQ63" s="34" t="n">
        <f aca="false">180 - AP63 -0.1468*(1-0.0549*SIN(Q63))*SIN($A$10*AP63)/(1-0.0167*SIN($A$10*AO63))</f>
        <v>174.162898470276</v>
      </c>
      <c r="AR63" s="64" t="n">
        <f aca="false">SIN($A$10*AI63)</f>
        <v>-0.121102611213216</v>
      </c>
      <c r="AS63" s="64" t="n">
        <f aca="false">COS($A$10*AI63)*SIN($A$10*$B$5) - TAN($A$10*AG63)*COS($A$10*$B$5)</f>
        <v>-0.647887384807231</v>
      </c>
      <c r="AT63" s="24" t="n">
        <f aca="false">IF(OR(AND(AR63*AS63&gt;0), AND(AR63&lt;0,AS63&gt;0)), MOD(ATAN2(AS63,AR63)/$A$10+360,360),  ATAN2(AS63,AR63)/$A$10)</f>
        <v>190.587506354921</v>
      </c>
      <c r="AU63" s="39" t="n">
        <f aca="false"> 385000.56 + (-20905355*COS(P63) - 3699111*COS(2*R63-P63) - 2955968*COS(2*R63) - 569925*COS(2*P63) + (1-0.002516*L63)*48888*COS(Q63) - 3149*COS(2*S63)  +246158*COS(2*R63-2*P63) -(1 - 0.002516*L63)*152138*COS(2*R63-Q63-P63) -170733*COS(2*R63+P63) -(1 - 0.002516*L63)*204586*COS(2*R63-Q63) -(1 - 0.002516*L63)*129620*COS(Q63-P63)  + 108743*COS(R63) +(1-0.002516*L63)*104755*COS(Q63+P63) +10321*COS(2*R63-2*S63) +79661*COS(P63-2*S63) -34782*COS(4*R63-P63) -23210*COS(3*P63)  -21636*COS(4*R63-2*P63) +(1 - 0.002516*L63)*24208*COS(2*R63+Q63-P63) +(1 - 0.002516*L63)*30824*COS(2*R63+Q63) -8379*COS(R63-P63) -(1 - 0.002516*L63)*16675*COS(R63+Q63)  -(1 - 0.002516*L63)*12831*COS(2*R63-Q63+P63) -10445*COS(2*R63+2*P63) -11650*COS(4*R63) +14403*COS(2*R63-3*P63) -(1-0.002516*L63)*7003*COS(Q63-2*P63)  + (1 - 0.002516*L63)*10056*COS(2*R63-Q63-2*P63) +6322*COS(R63+P63) -(1 - 0.002516*L63)*(1-0.002516*L63)*9884*COS(2*R63-2*Q63) +(1-0.002516*L63)*5751*COS(Q63+2*P63) - (1-0.002516*L63)^2*4950*COS(2*R63-2*Q63-P63)  +4130*COS(2*R63+P63-2*S63) -(1-0.002516*L63)*3958*COS(4*R63-Q63-P63) +3258*COS(3*R63-P63) +(1 - 0.002516*L63)*2616*COS(2*R63+Q63+P63) -(1 - 0.002516*L63)*1897*COS(4*R63-Q63-2*P63)  -(1-0.002516*L63)^2*2117*COS(2*Q63-P63) +(1-0.002516*L63)^2*2354*COS(2*R63+2*Q63-P63) -1423*COS(4*R63+P63) -1117*COS(4*P63) -(1-0.002516*L63)*1571*COS(4*R63-Q63)  -1739*COS(R63-2*P63) -4421*COS(2*P63-2*S63) +(1-0.002516*L63)^2*1165*COS(2*Q63+P63) +8752*COS(2*R63-P63-2*S63))/1000</f>
        <v>376067.613648458</v>
      </c>
      <c r="AV63" s="54" t="n">
        <f aca="false">ATAN(0.99664719*TAN($A$10*input!$E$2))</f>
        <v>0.871010436227447</v>
      </c>
      <c r="AW63" s="54" t="n">
        <f aca="false">COS(AV63)</f>
        <v>0.644053912545845</v>
      </c>
      <c r="AX63" s="54" t="n">
        <f aca="false">0.99664719*SIN(AV63)</f>
        <v>0.762415269897027</v>
      </c>
      <c r="AY63" s="54" t="n">
        <f aca="false">6378.14/AU63</f>
        <v>0.0169600884748406</v>
      </c>
      <c r="AZ63" s="55" t="n">
        <f aca="false">M63-15*AH63</f>
        <v>-173.044258334694</v>
      </c>
      <c r="BA63" s="56" t="n">
        <f aca="false">COS($A$10*AG63)*SIN($A$10*AZ63)</f>
        <v>-0.119288780458074</v>
      </c>
      <c r="BB63" s="56" t="n">
        <f aca="false">COS($A$10*AG63)*COS($A$10*AZ63)-AW63*AY63</f>
        <v>-0.988695805373876</v>
      </c>
      <c r="BC63" s="56" t="n">
        <f aca="false">SIN($A$10*AG63)-AX63*AY63</f>
        <v>-0.185357256020444</v>
      </c>
      <c r="BD63" s="57" t="n">
        <f aca="false">SQRT(BA63^2+BB63^2+BC63^2)</f>
        <v>1.01296916096518</v>
      </c>
      <c r="BE63" s="58" t="n">
        <f aca="false">AU63*BD63</f>
        <v>380944.895063656</v>
      </c>
    </row>
    <row r="64" customFormat="false" ht="15" hidden="false" customHeight="false" outlineLevel="0" collapsed="false">
      <c r="D64" s="41" t="n">
        <f aca="false">K64-INT(275*E64/9)+IF($A$8="common year",2,1)*INT((E64+9)/12)+30</f>
        <v>4</v>
      </c>
      <c r="E64" s="41" t="n">
        <f aca="false">IF(K64&lt;32,1,INT(9*(IF($A$8="common year",2,1)+K64)/275+0.98))</f>
        <v>3</v>
      </c>
      <c r="F64" s="42" t="n">
        <f aca="false">AM64</f>
        <v>-44.5499630476098</v>
      </c>
      <c r="G64" s="60" t="n">
        <f aca="false">F64+1.02/(TAN($A$10*(F64+10.3/(F64+5.11)))*60)</f>
        <v>-44.5670755026927</v>
      </c>
      <c r="H64" s="43" t="n">
        <f aca="false">100*(1+COS($A$10*AQ64))/2</f>
        <v>2.10043267931476</v>
      </c>
      <c r="I64" s="43" t="n">
        <f aca="false">IF(AI64&gt;180,AT64-180,AT64+180)</f>
        <v>353.818425477255</v>
      </c>
      <c r="J64" s="61" t="n">
        <f aca="false">$J$2+K63</f>
        <v>2459642.5</v>
      </c>
      <c r="K64" s="21" t="n">
        <v>63</v>
      </c>
      <c r="L64" s="62" t="n">
        <f aca="false">(J64-2451545)/36525</f>
        <v>0.221697467488022</v>
      </c>
      <c r="M64" s="63" t="n">
        <f aca="false">MOD(280.46061837+360.98564736629*(J64-2451545)+0.000387933*L64^2-L64^3/38710000+$B$7,360)</f>
        <v>176.740185969975</v>
      </c>
      <c r="N64" s="30" t="n">
        <f aca="false">0.606433+1336.855225*L64 - INT(0.606433+1336.855225*L64)</f>
        <v>0.983850780629723</v>
      </c>
      <c r="O64" s="35" t="n">
        <f aca="false">22640*SIN(P64)-4586*SIN(P64-2*R64)+2370*SIN(2*R64)+769*SIN(2*P64)-668*SIN(Q64)-412*SIN(2*S64)-212*SIN(2*P64-2*R64)-206*SIN(P64+Q64-2*R64)+192*SIN(P64+2*R64)-165*SIN(Q64-2*R64)-125*SIN(R64)-110*SIN(P64+Q64)+148*SIN(P64-Q64)-55*SIN(2*S64-2*R64)</f>
        <v>19149.8563373701</v>
      </c>
      <c r="P64" s="32" t="n">
        <f aca="false">2*PI()*(0.374897+1325.55241*L64 - INT(0.374897+1325.55241*L64))</f>
        <v>1.5488637352705</v>
      </c>
      <c r="Q64" s="36" t="n">
        <f aca="false">2*PI()*(0.993133+99.997361*L64 - INT(0.993133+99.997361*L64))</f>
        <v>1.01972760652355</v>
      </c>
      <c r="R64" s="36" t="n">
        <f aca="false">2*PI()*(0.827361+1236.853086*L64 - INT(0.827361+1236.853086*L64))</f>
        <v>0.217133192807247</v>
      </c>
      <c r="S64" s="36" t="n">
        <f aca="false">2*PI()*(0.259086+1342.227825*L64 - INT(0.259086+1342.227825*L64))</f>
        <v>5.19993647937178</v>
      </c>
      <c r="T64" s="36" t="n">
        <f aca="false">S64+(O64+412*SIN(2*S64)+541*SIN(Q64))/206264.8062</f>
        <v>5.29335878853521</v>
      </c>
      <c r="U64" s="36" t="n">
        <f aca="false">S64-2*R64</f>
        <v>4.76567009375728</v>
      </c>
      <c r="V64" s="34" t="n">
        <f aca="false">-526*SIN(U64)+44*SIN(P64+U64)-31*SIN(-P64+U64)-23*SIN(Q64+U64)+11*SIN(-Q64+U64)-25*SIN(-2*P64+S64)+21*SIN(-P64+S64)</f>
        <v>501.899200210906</v>
      </c>
      <c r="W64" s="36" t="n">
        <f aca="false">2*PI()*(N64+O64/1296000-INT(N64+O64/1296000))</f>
        <v>6.27455789274623</v>
      </c>
      <c r="X64" s="35" t="n">
        <f aca="false">W64*180/PI()</f>
        <v>359.505685564859</v>
      </c>
      <c r="Y64" s="36" t="n">
        <f aca="false">(18520*SIN(T64)+V64)/206264.8062</f>
        <v>-0.0726228535768283</v>
      </c>
      <c r="Z64" s="36" t="n">
        <f aca="false">Y64*180/PI()</f>
        <v>-4.16098300614882</v>
      </c>
      <c r="AA64" s="36" t="n">
        <f aca="false">COS(Y64)*COS(W64)</f>
        <v>0.997327001549235</v>
      </c>
      <c r="AB64" s="36" t="n">
        <f aca="false">COS(Y64)*SIN(W64)</f>
        <v>-0.00860456685484085</v>
      </c>
      <c r="AC64" s="36" t="n">
        <f aca="false">SIN(Y64)</f>
        <v>-0.072559033965816</v>
      </c>
      <c r="AD64" s="36" t="n">
        <f aca="false">COS($A$10*(23.4393-46.815*L64/3600))*AB64-SIN($A$10*(23.4393-46.815*L64/3600))*AC64</f>
        <v>0.020964279307914</v>
      </c>
      <c r="AE64" s="36" t="n">
        <f aca="false">SIN($A$10*(23.4393-46.815*L64/3600))*AB64+COS($A$10*(23.4393-46.815*L64/3600))*AC64</f>
        <v>-0.0699953639458474</v>
      </c>
      <c r="AF64" s="36" t="n">
        <f aca="false">SQRT(1-AE64*AE64)</f>
        <v>0.997547316685323</v>
      </c>
      <c r="AG64" s="35" t="n">
        <f aca="false">ATAN(AE64/AF64)/$A$10</f>
        <v>-4.01372093857723</v>
      </c>
      <c r="AH64" s="36" t="n">
        <f aca="false">IF(24*ATAN(AD64/(AA64+AF64))/PI()&gt;0,24*ATAN(AD64/(AA64+AF64))/PI(),24*ATAN(AD64/(AA64+AF64))/PI()+24)</f>
        <v>0.0802804465896226</v>
      </c>
      <c r="AI64" s="63" t="n">
        <f aca="false">IF(M64-15*AH64&gt;0,M64-15*AH64,360+M64-15*AH64)</f>
        <v>175.535979271131</v>
      </c>
      <c r="AJ64" s="32" t="n">
        <f aca="false">0.950724+0.051818*COS(P64)+0.009531*COS(2*R64-P64)+0.007843*COS(2*R64)+0.002824*COS(2*P64)+0.000857*COS(2*R64+P64)+0.000533*COS(2*R64-Q64)*(1-0.002495*(J64-2415020)/36525)+0.000401*COS(2*R64-Q64-P64)*(1-0.002495*(J64-2415020)/36525)+0.00032*COS(P64-Q64)*(1-0.002495*(J64-2415020)/36525)-0.000271*COS(R64)</f>
        <v>0.960249556101409</v>
      </c>
      <c r="AK64" s="36" t="n">
        <f aca="false">ASIN(COS($A$10*$B$5)*COS($A$10*AG64)*COS($A$10*AI64)+SIN($A$10*$B$5)*SIN($A$10*AG64))/$A$10</f>
        <v>-43.8589527725993</v>
      </c>
      <c r="AL64" s="32" t="n">
        <f aca="false">ASIN((0.9983271+0.0016764*COS($A$10*2*$B$5))*COS($A$10*AK64)*SIN($A$10*AJ64))/$A$10</f>
        <v>0.691010275010516</v>
      </c>
      <c r="AM64" s="32" t="n">
        <f aca="false">AK64-AL64</f>
        <v>-44.5499630476098</v>
      </c>
      <c r="AN64" s="35" t="n">
        <f aca="false"> MOD(280.4664567 + 360007.6982779*L64/10 + 0.03032028*L64^2/100 + L64^3/49931000,360)</f>
        <v>341.745970042799</v>
      </c>
      <c r="AO64" s="32" t="n">
        <f aca="false"> AN64 + (1.9146 - 0.004817*L64 - 0.000014*L64^2)*SIN(Q64)+ (0.019993 - 0.000101*L64)*SIN(2*Q64)+ 0.00029*SIN(3*Q64)</f>
        <v>343.394073785232</v>
      </c>
      <c r="AP64" s="32" t="n">
        <f aca="false">ACOS(COS(W64-$A$10*AO64)*COS(Y64))/$A$10</f>
        <v>16.6264510979765</v>
      </c>
      <c r="AQ64" s="34" t="n">
        <f aca="false">180 - AP64 -0.1468*(1-0.0549*SIN(Q64))*SIN($A$10*AP64)/(1-0.0167*SIN($A$10*AO64))</f>
        <v>163.333699742067</v>
      </c>
      <c r="AR64" s="64" t="n">
        <f aca="false">SIN($A$10*AI64)</f>
        <v>0.0778330593369888</v>
      </c>
      <c r="AS64" s="64" t="n">
        <f aca="false">COS($A$10*AI64)*SIN($A$10*$B$5) - TAN($A$10*AG64)*COS($A$10*$B$5)</f>
        <v>-0.718617799857584</v>
      </c>
      <c r="AT64" s="24" t="n">
        <f aca="false">IF(OR(AND(AR64*AS64&gt;0), AND(AR64&lt;0,AS64&gt;0)), MOD(ATAN2(AS64,AR64)/$A$10+360,360),  ATAN2(AS64,AR64)/$A$10)</f>
        <v>173.818425477255</v>
      </c>
      <c r="AU64" s="39" t="n">
        <f aca="false"> 385000.56 + (-20905355*COS(P64) - 3699111*COS(2*R64-P64) - 2955968*COS(2*R64) - 569925*COS(2*P64) + (1-0.002516*L64)*48888*COS(Q64) - 3149*COS(2*S64)  +246158*COS(2*R64-2*P64) -(1 - 0.002516*L64)*152138*COS(2*R64-Q64-P64) -170733*COS(2*R64+P64) -(1 - 0.002516*L64)*204586*COS(2*R64-Q64) -(1 - 0.002516*L64)*129620*COS(Q64-P64)  + 108743*COS(R64) +(1-0.002516*L64)*104755*COS(Q64+P64) +10321*COS(2*R64-2*S64) +79661*COS(P64-2*S64) -34782*COS(4*R64-P64) -23210*COS(3*P64)  -21636*COS(4*R64-2*P64) +(1 - 0.002516*L64)*24208*COS(2*R64+Q64-P64) +(1 - 0.002516*L64)*30824*COS(2*R64+Q64) -8379*COS(R64-P64) -(1 - 0.002516*L64)*16675*COS(R64+Q64)  -(1 - 0.002516*L64)*12831*COS(2*R64-Q64+P64) -10445*COS(2*R64+2*P64) -11650*COS(4*R64) +14403*COS(2*R64-3*P64) -(1-0.002516*L64)*7003*COS(Q64-2*P64)  + (1 - 0.002516*L64)*10056*COS(2*R64-Q64-2*P64) +6322*COS(R64+P64) -(1 - 0.002516*L64)*(1-0.002516*L64)*9884*COS(2*R64-2*Q64) +(1-0.002516*L64)*5751*COS(Q64+2*P64) - (1-0.002516*L64)^2*4950*COS(2*R64-2*Q64-P64)  +4130*COS(2*R64+P64-2*S64) -(1-0.002516*L64)*3958*COS(4*R64-Q64-P64) +3258*COS(3*R64-P64) +(1 - 0.002516*L64)*2616*COS(2*R64+Q64+P64) -(1 - 0.002516*L64)*1897*COS(4*R64-Q64-2*P64)  -(1-0.002516*L64)^2*2117*COS(2*Q64-P64) +(1-0.002516*L64)^2*2354*COS(2*R64+2*Q64-P64) -1423*COS(4*R64+P64) -1117*COS(4*P64) -(1-0.002516*L64)*1571*COS(4*R64-Q64)  -1739*COS(R64-2*P64) -4421*COS(2*P64-2*S64) +(1-0.002516*L64)^2*1165*COS(2*Q64+P64) +8752*COS(2*R64-P64-2*S64))/1000</f>
        <v>380410.650423357</v>
      </c>
      <c r="AV64" s="54" t="n">
        <f aca="false">ATAN(0.99664719*TAN($A$10*input!$E$2))</f>
        <v>0.871010436227447</v>
      </c>
      <c r="AW64" s="54" t="n">
        <f aca="false">COS(AV64)</f>
        <v>0.644053912545845</v>
      </c>
      <c r="AX64" s="54" t="n">
        <f aca="false">0.99664719*SIN(AV64)</f>
        <v>0.762415269897027</v>
      </c>
      <c r="AY64" s="54" t="n">
        <f aca="false">6378.14/AU64</f>
        <v>0.0167664601211922</v>
      </c>
      <c r="AZ64" s="55" t="n">
        <f aca="false">M64-15*AH64</f>
        <v>175.535979271131</v>
      </c>
      <c r="BA64" s="56" t="n">
        <f aca="false">COS($A$10*AG64)*SIN($A$10*AZ64)</f>
        <v>0.0776421594910227</v>
      </c>
      <c r="BB64" s="56" t="n">
        <f aca="false">COS($A$10*AG64)*COS($A$10*AZ64)-AW64*AY64</f>
        <v>-1.00531966746221</v>
      </c>
      <c r="BC64" s="56" t="n">
        <f aca="false">SIN($A$10*AG64)-AX64*AY64</f>
        <v>-0.0827783691643639</v>
      </c>
      <c r="BD64" s="57" t="n">
        <f aca="false">SQRT(BA64^2+BB64^2+BC64^2)</f>
        <v>1.01170558816202</v>
      </c>
      <c r="BE64" s="58" t="n">
        <f aca="false">AU64*BD64</f>
        <v>384863.580829659</v>
      </c>
    </row>
    <row r="65" customFormat="false" ht="15" hidden="false" customHeight="false" outlineLevel="0" collapsed="false">
      <c r="D65" s="41" t="n">
        <f aca="false">K65-INT(275*E65/9)+IF($A$8="common year",2,1)*INT((E65+9)/12)+30</f>
        <v>5</v>
      </c>
      <c r="E65" s="41" t="n">
        <f aca="false">IF(K65&lt;32,1,INT(9*(IF($A$8="common year",2,1)+K65)/275+0.98))</f>
        <v>3</v>
      </c>
      <c r="F65" s="42" t="n">
        <f aca="false">AM65</f>
        <v>-37.1668932898003</v>
      </c>
      <c r="G65" s="60" t="n">
        <f aca="false">F65+1.02/(TAN($A$10*(F65+10.3/(F65+5.11)))*60)</f>
        <v>-37.1890575734849</v>
      </c>
      <c r="H65" s="43" t="n">
        <f aca="false">100*(1+COS($A$10*AQ65))/2</f>
        <v>6.13460033528185</v>
      </c>
      <c r="I65" s="43" t="n">
        <f aca="false">IF(AI65&gt;180,AT65-180,AT65+180)</f>
        <v>340.752798352581</v>
      </c>
      <c r="J65" s="61" t="n">
        <f aca="false">$J$2+K64</f>
        <v>2459643.5</v>
      </c>
      <c r="K65" s="21" t="n">
        <v>64</v>
      </c>
      <c r="L65" s="62" t="n">
        <f aca="false">(J65-2451545)/36525</f>
        <v>0.221724845995893</v>
      </c>
      <c r="M65" s="63" t="n">
        <f aca="false">MOD(280.46061837+360.98564736629*(J65-2451545)+0.000387933*L65^2-L65^3/38710000+$B$7,360)</f>
        <v>177.725833341014</v>
      </c>
      <c r="N65" s="30" t="n">
        <f aca="false">0.606433+1336.855225*L65 - INT(0.606433+1336.855225*L65)</f>
        <v>0.0204518819301711</v>
      </c>
      <c r="O65" s="35" t="n">
        <f aca="false">22640*SIN(P65)-4586*SIN(P65-2*R65)+2370*SIN(2*R65)+769*SIN(2*P65)-668*SIN(Q65)-412*SIN(2*S65)-212*SIN(2*P65-2*R65)-206*SIN(P65+Q65-2*R65)+192*SIN(P65+2*R65)-165*SIN(Q65-2*R65)-125*SIN(R65)-110*SIN(P65+Q65)+148*SIN(P65-Q65)-55*SIN(2*S65-2*R65)</f>
        <v>19664.6111375497</v>
      </c>
      <c r="P65" s="32" t="n">
        <f aca="false">2*PI()*(0.374897+1325.55241*L65 - INT(0.374897+1325.55241*L65))</f>
        <v>1.77689087904631</v>
      </c>
      <c r="Q65" s="36" t="n">
        <f aca="false">2*PI()*(0.993133+99.997361*L65 - INT(0.993133+99.997361*L65))</f>
        <v>1.03692957639053</v>
      </c>
      <c r="R65" s="36" t="n">
        <f aca="false">2*PI()*(0.827361+1236.853086*L65 - INT(0.827361+1236.853086*L65))</f>
        <v>0.429901902926271</v>
      </c>
      <c r="S65" s="36" t="n">
        <f aca="false">2*PI()*(0.259086+1342.227825*L65 - INT(0.259086+1342.227825*L65))</f>
        <v>5.43083219871278</v>
      </c>
      <c r="T65" s="36" t="n">
        <f aca="false">S65+(O65+412*SIN(2*S65)+541*SIN(Q65))/206264.8062</f>
        <v>5.52644723626604</v>
      </c>
      <c r="U65" s="36" t="n">
        <f aca="false">S65-2*R65</f>
        <v>4.57102839286024</v>
      </c>
      <c r="V65" s="34" t="n">
        <f aca="false">-526*SIN(U65)+44*SIN(P65+U65)-31*SIN(-P65+U65)-23*SIN(Q65+U65)+11*SIN(-Q65+U65)-25*SIN(-2*P65+S65)+21*SIN(-P65+S65)</f>
        <v>489.08156443918</v>
      </c>
      <c r="W65" s="36" t="n">
        <f aca="false">2*PI()*(N65+O65/1296000-INT(N65+O65/1296000))</f>
        <v>0.223839689179653</v>
      </c>
      <c r="X65" s="35" t="n">
        <f aca="false">W65*180/PI()</f>
        <v>12.8250694775143</v>
      </c>
      <c r="Y65" s="36" t="n">
        <f aca="false">(18520*SIN(T65)+V65)/206264.8062</f>
        <v>-0.0592727766251038</v>
      </c>
      <c r="Z65" s="36" t="n">
        <f aca="false">Y65*180/PI()</f>
        <v>-3.39607994064013</v>
      </c>
      <c r="AA65" s="36" t="n">
        <f aca="false">COS(Y65)*COS(W65)</f>
        <v>0.973340017785016</v>
      </c>
      <c r="AB65" s="36" t="n">
        <f aca="false">COS(Y65)*SIN(W65)</f>
        <v>0.221585333764084</v>
      </c>
      <c r="AC65" s="36" t="n">
        <f aca="false">SIN(Y65)</f>
        <v>-0.0592380759218568</v>
      </c>
      <c r="AD65" s="36" t="n">
        <f aca="false">COS($A$10*(23.4393-46.815*L65/3600))*AB65-SIN($A$10*(23.4393-46.815*L65/3600))*AC65</f>
        <v>0.22686581731187</v>
      </c>
      <c r="AE65" s="36" t="n">
        <f aca="false">SIN($A$10*(23.4393-46.815*L65/3600))*AB65+COS($A$10*(23.4393-46.815*L65/3600))*AC65</f>
        <v>0.0337803302778654</v>
      </c>
      <c r="AF65" s="36" t="n">
        <f aca="false">SQRT(1-AE65*AE65)</f>
        <v>0.999429281783518</v>
      </c>
      <c r="AG65" s="35" t="n">
        <f aca="false">ATAN(AE65/AF65)/$A$10</f>
        <v>1.93583864228602</v>
      </c>
      <c r="AH65" s="36" t="n">
        <f aca="false">IF(24*ATAN(AD65/(AA65+AF65))/PI()&gt;0,24*ATAN(AD65/(AA65+AF65))/PI(),24*ATAN(AD65/(AA65+AF65))/PI()+24)</f>
        <v>0.874682717203242</v>
      </c>
      <c r="AI65" s="63" t="n">
        <f aca="false">IF(M65-15*AH65&gt;0,M65-15*AH65,360+M65-15*AH65)</f>
        <v>164.605592582965</v>
      </c>
      <c r="AJ65" s="32" t="n">
        <f aca="false">0.950724+0.051818*COS(P65)+0.009531*COS(2*R65-P65)+0.007843*COS(2*R65)+0.002824*COS(2*P65)+0.000857*COS(2*R65+P65)+0.000533*COS(2*R65-Q65)*(1-0.002495*(J65-2415020)/36525)+0.000401*COS(2*R65-Q65-P65)*(1-0.002495*(J65-2415020)/36525)+0.00032*COS(P65-Q65)*(1-0.002495*(J65-2415020)/36525)-0.000271*COS(R65)</f>
        <v>0.94805969471353</v>
      </c>
      <c r="AK65" s="36" t="n">
        <f aca="false">ASIN(COS($A$10*$B$5)*COS($A$10*AG65)*COS($A$10*AI65)+SIN($A$10*$B$5)*SIN($A$10*AG65))/$A$10</f>
        <v>-36.4053695827154</v>
      </c>
      <c r="AL65" s="32" t="n">
        <f aca="false">ASIN((0.9983271+0.0016764*COS($A$10*2*$B$5))*COS($A$10*AK65)*SIN($A$10*AJ65))/$A$10</f>
        <v>0.761523707084923</v>
      </c>
      <c r="AM65" s="32" t="n">
        <f aca="false">AK65-AL65</f>
        <v>-37.1668932898003</v>
      </c>
      <c r="AN65" s="35" t="n">
        <f aca="false"> MOD(280.4664567 + 360007.6982779*L65/10 + 0.03032028*L65^2/100 + L65^3/49931000,360)</f>
        <v>342.731617406584</v>
      </c>
      <c r="AO65" s="32" t="n">
        <f aca="false"> AN65 + (1.9146 - 0.004817*L65 - 0.000014*L65^2)*SIN(Q65)+ (0.019993 - 0.000101*L65)*SIN(2*Q65)+ 0.00029*SIN(3*Q65)</f>
        <v>344.396378240958</v>
      </c>
      <c r="AP65" s="32" t="n">
        <f aca="false">ACOS(COS(W65-$A$10*AO65)*COS(Y65))/$A$10</f>
        <v>28.614004696975</v>
      </c>
      <c r="AQ65" s="34" t="n">
        <f aca="false">180 - AP65 -0.1468*(1-0.0549*SIN(Q65))*SIN($A$10*AP65)/(1-0.0167*SIN($A$10*AO65))</f>
        <v>151.319313940329</v>
      </c>
      <c r="AR65" s="64" t="n">
        <f aca="false">SIN($A$10*AI65)</f>
        <v>0.265462011846683</v>
      </c>
      <c r="AS65" s="64" t="n">
        <f aca="false">COS($A$10*AI65)*SIN($A$10*$B$5) - TAN($A$10*AG65)*COS($A$10*$B$5)</f>
        <v>-0.76028575707671</v>
      </c>
      <c r="AT65" s="24" t="n">
        <f aca="false">IF(OR(AND(AR65*AS65&gt;0), AND(AR65&lt;0,AS65&gt;0)), MOD(ATAN2(AS65,AR65)/$A$10+360,360),  ATAN2(AS65,AR65)/$A$10)</f>
        <v>160.752798352581</v>
      </c>
      <c r="AU65" s="39" t="n">
        <f aca="false"> 385000.56 + (-20905355*COS(P65) - 3699111*COS(2*R65-P65) - 2955968*COS(2*R65) - 569925*COS(2*P65) + (1-0.002516*L65)*48888*COS(Q65) - 3149*COS(2*S65)  +246158*COS(2*R65-2*P65) -(1 - 0.002516*L65)*152138*COS(2*R65-Q65-P65) -170733*COS(2*R65+P65) -(1 - 0.002516*L65)*204586*COS(2*R65-Q65) -(1 - 0.002516*L65)*129620*COS(Q65-P65)  + 108743*COS(R65) +(1-0.002516*L65)*104755*COS(Q65+P65) +10321*COS(2*R65-2*S65) +79661*COS(P65-2*S65) -34782*COS(4*R65-P65) -23210*COS(3*P65)  -21636*COS(4*R65-2*P65) +(1 - 0.002516*L65)*24208*COS(2*R65+Q65-P65) +(1 - 0.002516*L65)*30824*COS(2*R65+Q65) -8379*COS(R65-P65) -(1 - 0.002516*L65)*16675*COS(R65+Q65)  -(1 - 0.002516*L65)*12831*COS(2*R65-Q65+P65) -10445*COS(2*R65+2*P65) -11650*COS(4*R65) +14403*COS(2*R65-3*P65) -(1-0.002516*L65)*7003*COS(Q65-2*P65)  + (1 - 0.002516*L65)*10056*COS(2*R65-Q65-2*P65) +6322*COS(R65+P65) -(1 - 0.002516*L65)*(1-0.002516*L65)*9884*COS(2*R65-2*Q65) +(1-0.002516*L65)*5751*COS(Q65+2*P65) - (1-0.002516*L65)^2*4950*COS(2*R65-2*Q65-P65)  +4130*COS(2*R65+P65-2*S65) -(1-0.002516*L65)*3958*COS(4*R65-Q65-P65) +3258*COS(3*R65-P65) +(1 - 0.002516*L65)*2616*COS(2*R65+Q65+P65) -(1 - 0.002516*L65)*1897*COS(4*R65-Q65-2*P65)  -(1-0.002516*L65)^2*2117*COS(2*Q65-P65) +(1-0.002516*L65)^2*2354*COS(2*R65+2*Q65-P65) -1423*COS(4*R65+P65) -1117*COS(4*P65) -(1-0.002516*L65)*1571*COS(4*R65-Q65)  -1739*COS(R65-2*P65) -4421*COS(2*P65-2*S65) +(1-0.002516*L65)^2*1165*COS(2*Q65+P65) +8752*COS(2*R65-P65-2*S65))/1000</f>
        <v>385217.1222716</v>
      </c>
      <c r="AV65" s="54" t="n">
        <f aca="false">ATAN(0.99664719*TAN($A$10*input!$E$2))</f>
        <v>0.871010436227447</v>
      </c>
      <c r="AW65" s="54" t="n">
        <f aca="false">COS(AV65)</f>
        <v>0.644053912545845</v>
      </c>
      <c r="AX65" s="54" t="n">
        <f aca="false">0.99664719*SIN(AV65)</f>
        <v>0.762415269897027</v>
      </c>
      <c r="AY65" s="54" t="n">
        <f aca="false">6378.14/AU65</f>
        <v>0.0165572598704557</v>
      </c>
      <c r="AZ65" s="55" t="n">
        <f aca="false">M65-15*AH65</f>
        <v>164.605592582965</v>
      </c>
      <c r="BA65" s="56" t="n">
        <f aca="false">COS($A$10*AG65)*SIN($A$10*AZ65)</f>
        <v>0.265310507840738</v>
      </c>
      <c r="BB65" s="56" t="n">
        <f aca="false">COS($A$10*AG65)*COS($A$10*AZ65)-AW65*AY65</f>
        <v>-0.97423484670503</v>
      </c>
      <c r="BC65" s="56" t="n">
        <f aca="false">SIN($A$10*AG65)-AX65*AY65</f>
        <v>0.0211568225249767</v>
      </c>
      <c r="BD65" s="57" t="n">
        <f aca="false">SQRT(BA65^2+BB65^2+BC65^2)</f>
        <v>1.00993604413569</v>
      </c>
      <c r="BE65" s="58" t="n">
        <f aca="false">AU65*BD65</f>
        <v>389044.656600313</v>
      </c>
    </row>
    <row r="66" customFormat="false" ht="15" hidden="false" customHeight="false" outlineLevel="0" collapsed="false">
      <c r="D66" s="41" t="n">
        <f aca="false">K66-INT(275*E66/9)+IF($A$8="common year",2,1)*INT((E66+9)/12)+30</f>
        <v>6</v>
      </c>
      <c r="E66" s="41" t="n">
        <f aca="false">IF(K66&lt;32,1,INT(9*(IF($A$8="common year",2,1)+K66)/275+0.98))</f>
        <v>3</v>
      </c>
      <c r="F66" s="42" t="n">
        <f aca="false">AM66</f>
        <v>-28.8734207344394</v>
      </c>
      <c r="G66" s="60" t="n">
        <f aca="false">F66+1.02/(TAN($A$10*(F66+10.3/(F66+5.11)))*60)</f>
        <v>-28.9037058812213</v>
      </c>
      <c r="H66" s="43" t="n">
        <f aca="false">100*(1+COS($A$10*AQ66))/2</f>
        <v>11.9894212066483</v>
      </c>
      <c r="I66" s="43" t="n">
        <f aca="false">IF(AI66&gt;180,AT66-180,AT66+180)</f>
        <v>330.417056849543</v>
      </c>
      <c r="J66" s="61" t="n">
        <f aca="false">$J$2+K65</f>
        <v>2459644.5</v>
      </c>
      <c r="K66" s="21" t="n">
        <v>65</v>
      </c>
      <c r="L66" s="62" t="n">
        <f aca="false">(J66-2451545)/36525</f>
        <v>0.221752224503765</v>
      </c>
      <c r="M66" s="63" t="n">
        <f aca="false">MOD(280.46061837+360.98564736629*(J66-2451545)+0.000387933*L66^2-L66^3/38710000+$B$7,360)</f>
        <v>178.711480711587</v>
      </c>
      <c r="N66" s="30" t="n">
        <f aca="false">0.606433+1336.855225*L66 - INT(0.606433+1336.855225*L66)</f>
        <v>0.0570529832306761</v>
      </c>
      <c r="O66" s="35" t="n">
        <f aca="false">22640*SIN(P66)-4586*SIN(P66-2*R66)+2370*SIN(2*R66)+769*SIN(2*P66)-668*SIN(Q66)-412*SIN(2*S66)-212*SIN(2*P66-2*R66)-206*SIN(P66+Q66-2*R66)+192*SIN(P66+2*R66)-165*SIN(Q66-2*R66)-125*SIN(R66)-110*SIN(P66+Q66)+148*SIN(P66-Q66)-55*SIN(2*S66-2*R66)</f>
        <v>18803.7124684838</v>
      </c>
      <c r="P66" s="32" t="n">
        <f aca="false">2*PI()*(0.374897+1325.55241*L66 - INT(0.374897+1325.55241*L66))</f>
        <v>2.00491802282177</v>
      </c>
      <c r="Q66" s="36" t="n">
        <f aca="false">2*PI()*(0.993133+99.997361*L66 - INT(0.993133+99.997361*L66))</f>
        <v>1.05413154625754</v>
      </c>
      <c r="R66" s="36" t="n">
        <f aca="false">2*PI()*(0.827361+1236.853086*L66 - INT(0.827361+1236.853086*L66))</f>
        <v>0.642670613044938</v>
      </c>
      <c r="S66" s="36" t="n">
        <f aca="false">2*PI()*(0.259086+1342.227825*L66 - INT(0.259086+1342.227825*L66))</f>
        <v>5.66172791805343</v>
      </c>
      <c r="T66" s="36" t="n">
        <f aca="false">S66+(O66+412*SIN(2*S66)+541*SIN(Q66))/206264.8062</f>
        <v>5.75328035266946</v>
      </c>
      <c r="U66" s="36" t="n">
        <f aca="false">S66-2*R66</f>
        <v>4.37638669196355</v>
      </c>
      <c r="V66" s="34" t="n">
        <f aca="false">-526*SIN(U66)+44*SIN(P66+U66)-31*SIN(-P66+U66)-23*SIN(Q66+U66)+11*SIN(-Q66+U66)-25*SIN(-2*P66+S66)+21*SIN(-P66+S66)</f>
        <v>459.391960913205</v>
      </c>
      <c r="W66" s="36" t="n">
        <f aca="false">2*PI()*(N66+O66/1296000-INT(N66+O66/1296000))</f>
        <v>0.449637436569457</v>
      </c>
      <c r="X66" s="35" t="n">
        <f aca="false">W66*180/PI()</f>
        <v>25.7623274265111</v>
      </c>
      <c r="Y66" s="36" t="n">
        <f aca="false">(18520*SIN(T66)+V66)/206264.8062</f>
        <v>-0.0431560133318721</v>
      </c>
      <c r="Z66" s="36" t="n">
        <f aca="false">Y66*180/PI()</f>
        <v>-2.47265742452658</v>
      </c>
      <c r="AA66" s="36" t="n">
        <f aca="false">COS(Y66)*COS(W66)</f>
        <v>0.899766214096863</v>
      </c>
      <c r="AB66" s="36" t="n">
        <f aca="false">COS(Y66)*SIN(W66)</f>
        <v>0.434234354266731</v>
      </c>
      <c r="AC66" s="36" t="n">
        <f aca="false">SIN(Y66)</f>
        <v>-0.0431426186543348</v>
      </c>
      <c r="AD66" s="36" t="n">
        <f aca="false">COS($A$10*(23.4393-46.815*L66/3600))*AB66-SIN($A$10*(23.4393-46.815*L66/3600))*AC66</f>
        <v>0.415570058991478</v>
      </c>
      <c r="AE66" s="36" t="n">
        <f aca="false">SIN($A$10*(23.4393-46.815*L66/3600))*AB66+COS($A$10*(23.4393-46.815*L66/3600))*AC66</f>
        <v>0.133125076674599</v>
      </c>
      <c r="AF66" s="36" t="n">
        <f aca="false">SQRT(1-AE66*AE66)</f>
        <v>0.991099245262745</v>
      </c>
      <c r="AG66" s="35" t="n">
        <f aca="false">ATAN(AE66/AF66)/$A$10</f>
        <v>7.65021610353657</v>
      </c>
      <c r="AH66" s="36" t="n">
        <f aca="false">IF(24*ATAN(AD66/(AA66+AF66))/PI()&gt;0,24*ATAN(AD66/(AA66+AF66))/PI(),24*ATAN(AD66/(AA66+AF66))/PI()+24)</f>
        <v>1.65270253812263</v>
      </c>
      <c r="AI66" s="63" t="n">
        <f aca="false">IF(M66-15*AH66&gt;0,M66-15*AH66,360+M66-15*AH66)</f>
        <v>153.920942639747</v>
      </c>
      <c r="AJ66" s="32" t="n">
        <f aca="false">0.950724+0.051818*COS(P66)+0.009531*COS(2*R66-P66)+0.007843*COS(2*R66)+0.002824*COS(2*P66)+0.000857*COS(2*R66+P66)+0.000533*COS(2*R66-Q66)*(1-0.002495*(J66-2415020)/36525)+0.000401*COS(2*R66-Q66-P66)*(1-0.002495*(J66-2415020)/36525)+0.00032*COS(P66-Q66)*(1-0.002495*(J66-2415020)/36525)-0.000271*COS(R66)</f>
        <v>0.936038077592826</v>
      </c>
      <c r="AK66" s="36" t="n">
        <f aca="false">ASIN(COS($A$10*$B$5)*COS($A$10*AG66)*COS($A$10*AI66)+SIN($A$10*$B$5)*SIN($A$10*AG66))/$A$10</f>
        <v>-28.0489546166645</v>
      </c>
      <c r="AL66" s="32" t="n">
        <f aca="false">ASIN((0.9983271+0.0016764*COS($A$10*2*$B$5))*COS($A$10*AK66)*SIN($A$10*AJ66))/$A$10</f>
        <v>0.824466117774893</v>
      </c>
      <c r="AM66" s="32" t="n">
        <f aca="false">AK66-AL66</f>
        <v>-28.8734207344394</v>
      </c>
      <c r="AN66" s="35" t="n">
        <f aca="false"> MOD(280.4664567 + 360007.6982779*L66/10 + 0.03032028*L66^2/100 + L66^3/49931000,360)</f>
        <v>343.717264770368</v>
      </c>
      <c r="AO66" s="32" t="n">
        <f aca="false"> AN66 + (1.9146 - 0.004817*L66 - 0.000014*L66^2)*SIN(Q66)+ (0.019993 - 0.000101*L66)*SIN(2*Q66)+ 0.00029*SIN(3*Q66)</f>
        <v>345.398174539721</v>
      </c>
      <c r="AP66" s="32" t="n">
        <f aca="false">ACOS(COS(W66-$A$10*AO66)*COS(Y66))/$A$10</f>
        <v>40.4268742300986</v>
      </c>
      <c r="AQ66" s="34" t="n">
        <f aca="false">180 - AP66 -0.1468*(1-0.0549*SIN(Q66))*SIN($A$10*AP66)/(1-0.0167*SIN($A$10*AO66))</f>
        <v>139.482853500697</v>
      </c>
      <c r="AR66" s="64" t="n">
        <f aca="false">SIN($A$10*AI66)</f>
        <v>0.439610895215248</v>
      </c>
      <c r="AS66" s="64" t="n">
        <f aca="false">COS($A$10*AI66)*SIN($A$10*$B$5) - TAN($A$10*AG66)*COS($A$10*$B$5)</f>
        <v>-0.774391810294037</v>
      </c>
      <c r="AT66" s="24" t="n">
        <f aca="false">IF(OR(AND(AR66*AS66&gt;0), AND(AR66&lt;0,AS66&gt;0)), MOD(ATAN2(AS66,AR66)/$A$10+360,360),  ATAN2(AS66,AR66)/$A$10)</f>
        <v>150.417056849543</v>
      </c>
      <c r="AU66" s="39" t="n">
        <f aca="false"> 385000.56 + (-20905355*COS(P66) - 3699111*COS(2*R66-P66) - 2955968*COS(2*R66) - 569925*COS(2*P66) + (1-0.002516*L66)*48888*COS(Q66) - 3149*COS(2*S66)  +246158*COS(2*R66-2*P66) -(1 - 0.002516*L66)*152138*COS(2*R66-Q66-P66) -170733*COS(2*R66+P66) -(1 - 0.002516*L66)*204586*COS(2*R66-Q66) -(1 - 0.002516*L66)*129620*COS(Q66-P66)  + 108743*COS(R66) +(1-0.002516*L66)*104755*COS(Q66+P66) +10321*COS(2*R66-2*S66) +79661*COS(P66-2*S66) -34782*COS(4*R66-P66) -23210*COS(3*P66)  -21636*COS(4*R66-2*P66) +(1 - 0.002516*L66)*24208*COS(2*R66+Q66-P66) +(1 - 0.002516*L66)*30824*COS(2*R66+Q66) -8379*COS(R66-P66) -(1 - 0.002516*L66)*16675*COS(R66+Q66)  -(1 - 0.002516*L66)*12831*COS(2*R66-Q66+P66) -10445*COS(2*R66+2*P66) -11650*COS(4*R66) +14403*COS(2*R66-3*P66) -(1-0.002516*L66)*7003*COS(Q66-2*P66)  + (1 - 0.002516*L66)*10056*COS(2*R66-Q66-2*P66) +6322*COS(R66+P66) -(1 - 0.002516*L66)*(1-0.002516*L66)*9884*COS(2*R66-2*Q66) +(1-0.002516*L66)*5751*COS(Q66+2*P66) - (1-0.002516*L66)^2*4950*COS(2*R66-2*Q66-P66)  +4130*COS(2*R66+P66-2*S66) -(1-0.002516*L66)*3958*COS(4*R66-Q66-P66) +3258*COS(3*R66-P66) +(1 - 0.002516*L66)*2616*COS(2*R66+Q66+P66) -(1 - 0.002516*L66)*1897*COS(4*R66-Q66-2*P66)  -(1-0.002516*L66)^2*2117*COS(2*Q66-P66) +(1-0.002516*L66)^2*2354*COS(2*R66+2*Q66-P66) -1423*COS(4*R66+P66) -1117*COS(4*P66) -(1-0.002516*L66)*1571*COS(4*R66-Q66)  -1739*COS(R66-2*P66) -4421*COS(2*P66-2*S66) +(1-0.002516*L66)^2*1165*COS(2*Q66+P66) +8752*COS(2*R66-P66-2*S66))/1000</f>
        <v>390122.973474267</v>
      </c>
      <c r="AV66" s="54" t="n">
        <f aca="false">ATAN(0.99664719*TAN($A$10*input!$E$2))</f>
        <v>0.871010436227447</v>
      </c>
      <c r="AW66" s="54" t="n">
        <f aca="false">COS(AV66)</f>
        <v>0.644053912545845</v>
      </c>
      <c r="AX66" s="54" t="n">
        <f aca="false">0.99664719*SIN(AV66)</f>
        <v>0.762415269897027</v>
      </c>
      <c r="AY66" s="54" t="n">
        <f aca="false">6378.14/AU66</f>
        <v>0.0163490500013343</v>
      </c>
      <c r="AZ66" s="55" t="n">
        <f aca="false">M66-15*AH66</f>
        <v>153.920942639747</v>
      </c>
      <c r="BA66" s="56" t="n">
        <f aca="false">COS($A$10*AG66)*SIN($A$10*AZ66)</f>
        <v>0.435698026457112</v>
      </c>
      <c r="BB66" s="56" t="n">
        <f aca="false">COS($A$10*AG66)*COS($A$10*AZ66)-AW66*AY66</f>
        <v>-0.90072343712309</v>
      </c>
      <c r="BC66" s="56" t="n">
        <f aca="false">SIN($A$10*AG66)-AX66*AY66</f>
        <v>0.120660311305271</v>
      </c>
      <c r="BD66" s="57" t="n">
        <f aca="false">SQRT(BA66^2+BB66^2+BC66^2)</f>
        <v>1.00781664560858</v>
      </c>
      <c r="BE66" s="58" t="n">
        <f aca="false">AU66*BD66</f>
        <v>393172.426501682</v>
      </c>
    </row>
    <row r="67" customFormat="false" ht="15" hidden="false" customHeight="false" outlineLevel="0" collapsed="false">
      <c r="D67" s="41" t="n">
        <f aca="false">K67-INT(275*E67/9)+IF($A$8="common year",2,1)*INT((E67+9)/12)+30</f>
        <v>7</v>
      </c>
      <c r="E67" s="41" t="n">
        <f aca="false">IF(K67&lt;32,1,INT(9*(IF($A$8="common year",2,1)+K67)/275+0.98))</f>
        <v>3</v>
      </c>
      <c r="F67" s="42" t="n">
        <f aca="false">AM67</f>
        <v>-20.1939191621774</v>
      </c>
      <c r="G67" s="60" t="n">
        <f aca="false">F67+1.02/(TAN($A$10*(F67+10.3/(F67+5.11)))*60)</f>
        <v>-20.2384919892076</v>
      </c>
      <c r="H67" s="43" t="n">
        <f aca="false">100*(1+COS($A$10*AQ67))/2</f>
        <v>19.2597881204537</v>
      </c>
      <c r="I67" s="43" t="n">
        <f aca="false">IF(AI67&gt;180,AT67-180,AT67+180)</f>
        <v>321.833822113446</v>
      </c>
      <c r="J67" s="61" t="n">
        <f aca="false">$J$2+K66</f>
        <v>2459645.5</v>
      </c>
      <c r="K67" s="21" t="n">
        <v>66</v>
      </c>
      <c r="L67" s="62" t="n">
        <f aca="false">(J67-2451545)/36525</f>
        <v>0.221779603011636</v>
      </c>
      <c r="M67" s="63" t="n">
        <f aca="false">MOD(280.46061837+360.98564736629*(J67-2451545)+0.000387933*L67^2-L67^3/38710000+$B$7,360)</f>
        <v>179.697128082626</v>
      </c>
      <c r="N67" s="30" t="n">
        <f aca="false">0.606433+1336.855225*L67 - INT(0.606433+1336.855225*L67)</f>
        <v>0.0936540845311242</v>
      </c>
      <c r="O67" s="35" t="n">
        <f aca="false">22640*SIN(P67)-4586*SIN(P67-2*R67)+2370*SIN(2*R67)+769*SIN(2*P67)-668*SIN(Q67)-412*SIN(2*S67)-212*SIN(2*P67-2*R67)-206*SIN(P67+Q67-2*R67)+192*SIN(P67+2*R67)-165*SIN(Q67-2*R67)-125*SIN(R67)-110*SIN(P67+Q67)+148*SIN(P67-Q67)-55*SIN(2*S67-2*R67)</f>
        <v>16640.4339769576</v>
      </c>
      <c r="P67" s="32" t="n">
        <f aca="false">2*PI()*(0.374897+1325.55241*L67 - INT(0.374897+1325.55241*L67))</f>
        <v>2.23294516659759</v>
      </c>
      <c r="Q67" s="36" t="n">
        <f aca="false">2*PI()*(0.993133+99.997361*L67 - INT(0.993133+99.997361*L67))</f>
        <v>1.07133351612453</v>
      </c>
      <c r="R67" s="36" t="n">
        <f aca="false">2*PI()*(0.827361+1236.853086*L67 - INT(0.827361+1236.853086*L67))</f>
        <v>0.855439323163963</v>
      </c>
      <c r="S67" s="36" t="n">
        <f aca="false">2*PI()*(0.259086+1342.227825*L67 - INT(0.259086+1342.227825*L67))</f>
        <v>5.89262363739443</v>
      </c>
      <c r="T67" s="36" t="n">
        <f aca="false">S67+(O67+412*SIN(2*S67)+541*SIN(Q67))/206264.8062</f>
        <v>5.97419482617289</v>
      </c>
      <c r="U67" s="36" t="n">
        <f aca="false">S67-2*R67</f>
        <v>4.18174499106651</v>
      </c>
      <c r="V67" s="34" t="n">
        <f aca="false">-526*SIN(U67)+44*SIN(P67+U67)-31*SIN(-P67+U67)-23*SIN(Q67+U67)+11*SIN(-Q67+U67)-25*SIN(-2*P67+S67)+21*SIN(-P67+S67)</f>
        <v>415.544706626066</v>
      </c>
      <c r="W67" s="36" t="n">
        <f aca="false">2*PI()*(N67+O67/1296000-INT(N67+O67/1296000))</f>
        <v>0.669121068399605</v>
      </c>
      <c r="X67" s="35" t="n">
        <f aca="false">W67*180/PI()</f>
        <v>38.3378132025819</v>
      </c>
      <c r="Y67" s="36" t="n">
        <f aca="false">(18520*SIN(T67)+V67)/206264.8062</f>
        <v>-0.0252894972937039</v>
      </c>
      <c r="Z67" s="36" t="n">
        <f aca="false">Y67*180/PI()</f>
        <v>-1.44898146093675</v>
      </c>
      <c r="AA67" s="36" t="n">
        <f aca="false">COS(Y67)*COS(W67)</f>
        <v>0.784116356214079</v>
      </c>
      <c r="AB67" s="36" t="n">
        <f aca="false">COS(Y67)*SIN(W67)</f>
        <v>0.620098474097187</v>
      </c>
      <c r="AC67" s="36" t="n">
        <f aca="false">SIN(Y67)</f>
        <v>-0.0252868016936818</v>
      </c>
      <c r="AD67" s="36" t="n">
        <f aca="false">COS($A$10*(23.4393-46.815*L67/3600))*AB67-SIN($A$10*(23.4393-46.815*L67/3600))*AC67</f>
        <v>0.578998951560435</v>
      </c>
      <c r="AE67" s="36" t="n">
        <f aca="false">SIN($A$10*(23.4393-46.815*L67/3600))*AB67+COS($A$10*(23.4393-46.815*L67/3600))*AC67</f>
        <v>0.223431765891675</v>
      </c>
      <c r="AF67" s="36" t="n">
        <f aca="false">SQRT(1-AE67*AE67)</f>
        <v>0.974719573000629</v>
      </c>
      <c r="AG67" s="35" t="n">
        <f aca="false">ATAN(AE67/AF67)/$A$10</f>
        <v>12.9106774805472</v>
      </c>
      <c r="AH67" s="36" t="n">
        <f aca="false">IF(24*ATAN(AD67/(AA67+AF67))/PI()&gt;0,24*ATAN(AD67/(AA67+AF67))/PI(),24*ATAN(AD67/(AA67+AF67))/PI()+24)</f>
        <v>2.42950077193344</v>
      </c>
      <c r="AI67" s="63" t="n">
        <f aca="false">IF(M67-15*AH67&gt;0,M67-15*AH67,360+M67-15*AH67)</f>
        <v>143.254616503624</v>
      </c>
      <c r="AJ67" s="32" t="n">
        <f aca="false">0.950724+0.051818*COS(P67)+0.009531*COS(2*R67-P67)+0.007843*COS(2*R67)+0.002824*COS(2*P67)+0.000857*COS(2*R67+P67)+0.000533*COS(2*R67-Q67)*(1-0.002495*(J67-2415020)/36525)+0.000401*COS(2*R67-Q67-P67)*(1-0.002495*(J67-2415020)/36525)+0.00032*COS(P67-Q67)*(1-0.002495*(J67-2415020)/36525)-0.000271*COS(R67)</f>
        <v>0.925113640345653</v>
      </c>
      <c r="AK67" s="36" t="n">
        <f aca="false">ASIN(COS($A$10*$B$5)*COS($A$10*AG67)*COS($A$10*AI67)+SIN($A$10*$B$5)*SIN($A$10*AG67))/$A$10</f>
        <v>-19.3226357510456</v>
      </c>
      <c r="AL67" s="32" t="n">
        <f aca="false">ASIN((0.9983271+0.0016764*COS($A$10*2*$B$5))*COS($A$10*AK67)*SIN($A$10*AJ67))/$A$10</f>
        <v>0.871283411131776</v>
      </c>
      <c r="AM67" s="32" t="n">
        <f aca="false">AK67-AL67</f>
        <v>-20.1939191621774</v>
      </c>
      <c r="AN67" s="35" t="n">
        <f aca="false"> MOD(280.4664567 + 360007.6982779*L67/10 + 0.03032028*L67^2/100 + L67^3/49931000,360)</f>
        <v>344.702912134155</v>
      </c>
      <c r="AO67" s="32" t="n">
        <f aca="false"> AN67 + (1.9146 - 0.004817*L67 - 0.000014*L67^2)*SIN(Q67)+ (0.019993 - 0.000101*L67)*SIN(2*Q67)+ 0.00029*SIN(3*Q67)</f>
        <v>346.399458241683</v>
      </c>
      <c r="AP67" s="32" t="n">
        <f aca="false">ACOS(COS(W67-$A$10*AO67)*COS(Y67))/$A$10</f>
        <v>51.9526992830577</v>
      </c>
      <c r="AQ67" s="34" t="n">
        <f aca="false">180 - AP67 -0.1468*(1-0.0549*SIN(Q67))*SIN($A$10*AP67)/(1-0.0167*SIN($A$10*AO67))</f>
        <v>127.937697221794</v>
      </c>
      <c r="AR67" s="64" t="n">
        <f aca="false">SIN($A$10*AI67)</f>
        <v>0.598260039054334</v>
      </c>
      <c r="AS67" s="64" t="n">
        <f aca="false">COS($A$10*AI67)*SIN($A$10*$B$5) - TAN($A$10*AG67)*COS($A$10*$B$5)</f>
        <v>-0.761177051217798</v>
      </c>
      <c r="AT67" s="24" t="n">
        <f aca="false">IF(OR(AND(AR67*AS67&gt;0), AND(AR67&lt;0,AS67&gt;0)), MOD(ATAN2(AS67,AR67)/$A$10+360,360),  ATAN2(AS67,AR67)/$A$10)</f>
        <v>141.833822113446</v>
      </c>
      <c r="AU67" s="39" t="n">
        <f aca="false"> 385000.56 + (-20905355*COS(P67) - 3699111*COS(2*R67-P67) - 2955968*COS(2*R67) - 569925*COS(2*P67) + (1-0.002516*L67)*48888*COS(Q67) - 3149*COS(2*S67)  +246158*COS(2*R67-2*P67) -(1 - 0.002516*L67)*152138*COS(2*R67-Q67-P67) -170733*COS(2*R67+P67) -(1 - 0.002516*L67)*204586*COS(2*R67-Q67) -(1 - 0.002516*L67)*129620*COS(Q67-P67)  + 108743*COS(R67) +(1-0.002516*L67)*104755*COS(Q67+P67) +10321*COS(2*R67-2*S67) +79661*COS(P67-2*S67) -34782*COS(4*R67-P67) -23210*COS(3*P67)  -21636*COS(4*R67-2*P67) +(1 - 0.002516*L67)*24208*COS(2*R67+Q67-P67) +(1 - 0.002516*L67)*30824*COS(2*R67+Q67) -8379*COS(R67-P67) -(1 - 0.002516*L67)*16675*COS(R67+Q67)  -(1 - 0.002516*L67)*12831*COS(2*R67-Q67+P67) -10445*COS(2*R67+2*P67) -11650*COS(4*R67) +14403*COS(2*R67-3*P67) -(1-0.002516*L67)*7003*COS(Q67-2*P67)  + (1 - 0.002516*L67)*10056*COS(2*R67-Q67-2*P67) +6322*COS(R67+P67) -(1 - 0.002516*L67)*(1-0.002516*L67)*9884*COS(2*R67-2*Q67) +(1-0.002516*L67)*5751*COS(Q67+2*P67) - (1-0.002516*L67)^2*4950*COS(2*R67-2*Q67-P67)  +4130*COS(2*R67+P67-2*S67) -(1-0.002516*L67)*3958*COS(4*R67-Q67-P67) +3258*COS(3*R67-P67) +(1 - 0.002516*L67)*2616*COS(2*R67+Q67+P67) -(1 - 0.002516*L67)*1897*COS(4*R67-Q67-2*P67)  -(1-0.002516*L67)^2*2117*COS(2*Q67-P67) +(1-0.002516*L67)^2*2354*COS(2*R67+2*Q67-P67) -1423*COS(4*R67+P67) -1117*COS(4*P67) -(1-0.002516*L67)*1571*COS(4*R67-Q67)  -1739*COS(R67-2*P67) -4421*COS(2*P67-2*S67) +(1-0.002516*L67)^2*1165*COS(2*Q67+P67) +8752*COS(2*R67-P67-2*S67))/1000</f>
        <v>394746.732547651</v>
      </c>
      <c r="AV67" s="54" t="n">
        <f aca="false">ATAN(0.99664719*TAN($A$10*input!$E$2))</f>
        <v>0.871010436227447</v>
      </c>
      <c r="AW67" s="54" t="n">
        <f aca="false">COS(AV67)</f>
        <v>0.644053912545845</v>
      </c>
      <c r="AX67" s="54" t="n">
        <f aca="false">0.99664719*SIN(AV67)</f>
        <v>0.762415269897027</v>
      </c>
      <c r="AY67" s="54" t="n">
        <f aca="false">6378.14/AU67</f>
        <v>0.0161575498265336</v>
      </c>
      <c r="AZ67" s="55" t="n">
        <f aca="false">M67-15*AH67</f>
        <v>143.254616503624</v>
      </c>
      <c r="BA67" s="56" t="n">
        <f aca="false">COS($A$10*AG67)*SIN($A$10*AZ67)</f>
        <v>0.58313576981038</v>
      </c>
      <c r="BB67" s="56" t="n">
        <f aca="false">COS($A$10*AG67)*COS($A$10*AZ67)-AW67*AY67</f>
        <v>-0.791451094997635</v>
      </c>
      <c r="BC67" s="56" t="n">
        <f aca="false">SIN($A$10*AG67)-AX67*AY67</f>
        <v>0.211113003179804</v>
      </c>
      <c r="BD67" s="57" t="n">
        <f aca="false">SQRT(BA67^2+BB67^2+BC67^2)</f>
        <v>1.00549035893781</v>
      </c>
      <c r="BE67" s="58" t="n">
        <f aca="false">AU67*BD67</f>
        <v>396914.033798867</v>
      </c>
    </row>
    <row r="68" customFormat="false" ht="15" hidden="false" customHeight="false" outlineLevel="0" collapsed="false">
      <c r="D68" s="41" t="n">
        <f aca="false">K68-INT(275*E68/9)+IF($A$8="common year",2,1)*INT((E68+9)/12)+30</f>
        <v>8</v>
      </c>
      <c r="E68" s="41" t="n">
        <f aca="false">IF(K68&lt;32,1,INT(9*(IF($A$8="common year",2,1)+K68)/275+0.98))</f>
        <v>3</v>
      </c>
      <c r="F68" s="42" t="n">
        <f aca="false">AM68</f>
        <v>-11.4195241519117</v>
      </c>
      <c r="G68" s="60" t="n">
        <f aca="false">F68+1.02/(TAN($A$10*(F68+10.3/(F68+5.11)))*60)</f>
        <v>-11.4928556727194</v>
      </c>
      <c r="H68" s="43" t="n">
        <f aca="false">100*(1+COS($A$10*AQ68))/2</f>
        <v>27.5554591564278</v>
      </c>
      <c r="I68" s="43" t="n">
        <f aca="false">IF(AI68&gt;180,AT68-180,AT68+180)</f>
        <v>314.270627833226</v>
      </c>
      <c r="J68" s="61" t="n">
        <f aca="false">$J$2+K67</f>
        <v>2459646.5</v>
      </c>
      <c r="K68" s="21" t="n">
        <v>67</v>
      </c>
      <c r="L68" s="62" t="n">
        <f aca="false">(J68-2451545)/36525</f>
        <v>0.221806981519507</v>
      </c>
      <c r="M68" s="63" t="n">
        <f aca="false">MOD(280.46061837+360.98564736629*(J68-2451545)+0.000387933*L68^2-L68^3/38710000+$B$7,360)</f>
        <v>180.682775453664</v>
      </c>
      <c r="N68" s="30" t="n">
        <f aca="false">0.606433+1336.855225*L68 - INT(0.606433+1336.855225*L68)</f>
        <v>0.130255185831572</v>
      </c>
      <c r="O68" s="35" t="n">
        <f aca="false">22640*SIN(P68)-4586*SIN(P68-2*R68)+2370*SIN(2*R68)+769*SIN(2*P68)-668*SIN(Q68)-412*SIN(2*S68)-212*SIN(2*P68-2*R68)-206*SIN(P68+Q68-2*R68)+192*SIN(P68+2*R68)-165*SIN(Q68-2*R68)-125*SIN(R68)-110*SIN(P68+Q68)+148*SIN(P68-Q68)-55*SIN(2*S68-2*R68)</f>
        <v>13359.5078560759</v>
      </c>
      <c r="P68" s="32" t="n">
        <f aca="false">2*PI()*(0.374897+1325.55241*L68 - INT(0.374897+1325.55241*L68))</f>
        <v>2.46097231037305</v>
      </c>
      <c r="Q68" s="36" t="n">
        <f aca="false">2*PI()*(0.993133+99.997361*L68 - INT(0.993133+99.997361*L68))</f>
        <v>1.08853548599151</v>
      </c>
      <c r="R68" s="36" t="n">
        <f aca="false">2*PI()*(0.827361+1236.853086*L68 - INT(0.827361+1236.853086*L68))</f>
        <v>1.06820803328263</v>
      </c>
      <c r="S68" s="36" t="n">
        <f aca="false">2*PI()*(0.259086+1342.227825*L68 - INT(0.259086+1342.227825*L68))</f>
        <v>6.12351935673544</v>
      </c>
      <c r="T68" s="36" t="n">
        <f aca="false">S68+(O68+412*SIN(2*S68)+541*SIN(Q68))/206264.8062</f>
        <v>6.18998472335056</v>
      </c>
      <c r="U68" s="36" t="n">
        <f aca="false">S68-2*R68</f>
        <v>3.98710329017018</v>
      </c>
      <c r="V68" s="34" t="n">
        <f aca="false">-526*SIN(U68)+44*SIN(P68+U68)-31*SIN(-P68+U68)-23*SIN(Q68+U68)+11*SIN(-Q68+U68)-25*SIN(-2*P68+S68)+21*SIN(-P68+S68)</f>
        <v>360.243420879116</v>
      </c>
      <c r="W68" s="36" t="n">
        <f aca="false">2*PI()*(N68+O68/1296000-INT(N68+O68/1296000))</f>
        <v>0.883186191616041</v>
      </c>
      <c r="X68" s="35" t="n">
        <f aca="false">W68*180/PI()</f>
        <v>50.6028413038316</v>
      </c>
      <c r="Y68" s="36" t="n">
        <f aca="false">(18520*SIN(T68)+V68)/206264.8062</f>
        <v>-0.00660962779115887</v>
      </c>
      <c r="Z68" s="36" t="n">
        <f aca="false">Y68*180/PI()</f>
        <v>-0.37870377658578</v>
      </c>
      <c r="AA68" s="36" t="n">
        <f aca="false">COS(Y68)*COS(W68)</f>
        <v>0.634678328575893</v>
      </c>
      <c r="AB68" s="36" t="n">
        <f aca="false">COS(Y68)*SIN(W68)</f>
        <v>0.772748168999939</v>
      </c>
      <c r="AC68" s="36" t="n">
        <f aca="false">SIN(Y68)</f>
        <v>-0.00660957966526466</v>
      </c>
      <c r="AD68" s="36" t="n">
        <f aca="false">COS($A$10*(23.4393-46.815*L68/3600))*AB68-SIN($A$10*(23.4393-46.815*L68/3600))*AC68</f>
        <v>0.711626844795263</v>
      </c>
      <c r="AE68" s="36" t="n">
        <f aca="false">SIN($A$10*(23.4393-46.815*L68/3600))*AB68+COS($A$10*(23.4393-46.815*L68/3600))*AC68</f>
        <v>0.301281683815742</v>
      </c>
      <c r="AF68" s="36" t="n">
        <f aca="false">SQRT(1-AE68*AE68)</f>
        <v>0.953535183932481</v>
      </c>
      <c r="AG68" s="35" t="n">
        <f aca="false">ATAN(AE68/AF68)/$A$10</f>
        <v>17.5346002911018</v>
      </c>
      <c r="AH68" s="36" t="n">
        <f aca="false">IF(24*ATAN(AD68/(AA68+AF68))/PI()&gt;0,24*ATAN(AD68/(AA68+AF68))/PI(),24*ATAN(AD68/(AA68+AF68))/PI()+24)</f>
        <v>3.21808001522745</v>
      </c>
      <c r="AI68" s="63" t="n">
        <f aca="false">IF(M68-15*AH68&gt;0,M68-15*AH68,360+M68-15*AH68)</f>
        <v>132.411575225253</v>
      </c>
      <c r="AJ68" s="32" t="n">
        <f aca="false">0.950724+0.051818*COS(P68)+0.009531*COS(2*R68-P68)+0.007843*COS(2*R68)+0.002824*COS(2*P68)+0.000857*COS(2*R68+P68)+0.000533*COS(2*R68-Q68)*(1-0.002495*(J68-2415020)/36525)+0.000401*COS(2*R68-Q68-P68)*(1-0.002495*(J68-2415020)/36525)+0.00032*COS(P68-Q68)*(1-0.002495*(J68-2415020)/36525)-0.000271*COS(R68)</f>
        <v>0.91603160701608</v>
      </c>
      <c r="AK68" s="36" t="n">
        <f aca="false">ASIN(COS($A$10*$B$5)*COS($A$10*AG68)*COS($A$10*AI68)+SIN($A$10*$B$5)*SIN($A$10*AG68))/$A$10</f>
        <v>-10.5206621045887</v>
      </c>
      <c r="AL68" s="32" t="n">
        <f aca="false">ASIN((0.9983271+0.0016764*COS($A$10*2*$B$5))*COS($A$10*AK68)*SIN($A$10*AJ68))/$A$10</f>
        <v>0.898862047322968</v>
      </c>
      <c r="AM68" s="32" t="n">
        <f aca="false">AK68-AL68</f>
        <v>-11.4195241519117</v>
      </c>
      <c r="AN68" s="35" t="n">
        <f aca="false"> MOD(280.4664567 + 360007.6982779*L68/10 + 0.03032028*L68^2/100 + L68^3/49931000,360)</f>
        <v>345.688559497939</v>
      </c>
      <c r="AO68" s="32" t="n">
        <f aca="false"> AN68 + (1.9146 - 0.004817*L68 - 0.000014*L68^2)*SIN(Q68)+ (0.019993 - 0.000101*L68)*SIN(2*Q68)+ 0.00029*SIN(3*Q68)</f>
        <v>347.400225076663</v>
      </c>
      <c r="AP68" s="32" t="n">
        <f aca="false">ACOS(COS(W68-$A$10*AO68)*COS(Y68))/$A$10</f>
        <v>63.2032483525026</v>
      </c>
      <c r="AQ68" s="34" t="n">
        <f aca="false">180 - AP68 -0.1468*(1-0.0549*SIN(Q68))*SIN($A$10*AP68)/(1-0.0167*SIN($A$10*AO68))</f>
        <v>116.672542156741</v>
      </c>
      <c r="AR68" s="64" t="n">
        <f aca="false">SIN($A$10*AI68)</f>
        <v>0.738319099082883</v>
      </c>
      <c r="AS68" s="64" t="n">
        <f aca="false">COS($A$10*AI68)*SIN($A$10*$B$5) - TAN($A$10*AG68)*COS($A$10*$B$5)</f>
        <v>-0.719756868380095</v>
      </c>
      <c r="AT68" s="24" t="n">
        <f aca="false">IF(OR(AND(AR68*AS68&gt;0), AND(AR68&lt;0,AS68&gt;0)), MOD(ATAN2(AS68,AR68)/$A$10+360,360),  ATAN2(AS68,AR68)/$A$10)</f>
        <v>134.270627833226</v>
      </c>
      <c r="AU68" s="39" t="n">
        <f aca="false"> 385000.56 + (-20905355*COS(P68) - 3699111*COS(2*R68-P68) - 2955968*COS(2*R68) - 569925*COS(2*P68) + (1-0.002516*L68)*48888*COS(Q68) - 3149*COS(2*S68)  +246158*COS(2*R68-2*P68) -(1 - 0.002516*L68)*152138*COS(2*R68-Q68-P68) -170733*COS(2*R68+P68) -(1 - 0.002516*L68)*204586*COS(2*R68-Q68) -(1 - 0.002516*L68)*129620*COS(Q68-P68)  + 108743*COS(R68) +(1-0.002516*L68)*104755*COS(Q68+P68) +10321*COS(2*R68-2*S68) +79661*COS(P68-2*S68) -34782*COS(4*R68-P68) -23210*COS(3*P68)  -21636*COS(4*R68-2*P68) +(1 - 0.002516*L68)*24208*COS(2*R68+Q68-P68) +(1 - 0.002516*L68)*30824*COS(2*R68+Q68) -8379*COS(R68-P68) -(1 - 0.002516*L68)*16675*COS(R68+Q68)  -(1 - 0.002516*L68)*12831*COS(2*R68-Q68+P68) -10445*COS(2*R68+2*P68) -11650*COS(4*R68) +14403*COS(2*R68-3*P68) -(1-0.002516*L68)*7003*COS(Q68-2*P68)  + (1 - 0.002516*L68)*10056*COS(2*R68-Q68-2*P68) +6322*COS(R68+P68) -(1 - 0.002516*L68)*(1-0.002516*L68)*9884*COS(2*R68-2*Q68) +(1-0.002516*L68)*5751*COS(Q68+2*P68) - (1-0.002516*L68)^2*4950*COS(2*R68-2*Q68-P68)  +4130*COS(2*R68+P68-2*S68) -(1-0.002516*L68)*3958*COS(4*R68-Q68-P68) +3258*COS(3*R68-P68) +(1 - 0.002516*L68)*2616*COS(2*R68+Q68+P68) -(1 - 0.002516*L68)*1897*COS(4*R68-Q68-2*P68)  -(1-0.002516*L68)^2*2117*COS(2*Q68-P68) +(1-0.002516*L68)^2*2354*COS(2*R68+2*Q68-P68) -1423*COS(4*R68+P68) -1117*COS(4*P68) -(1-0.002516*L68)*1571*COS(4*R68-Q68)  -1739*COS(R68-2*P68) -4421*COS(2*P68-2*S68) +(1-0.002516*L68)^2*1165*COS(2*Q68+P68) +8752*COS(2*R68-P68-2*S68))/1000</f>
        <v>398730.955224241</v>
      </c>
      <c r="AV68" s="54" t="n">
        <f aca="false">ATAN(0.99664719*TAN($A$10*input!$E$2))</f>
        <v>0.871010436227447</v>
      </c>
      <c r="AW68" s="54" t="n">
        <f aca="false">COS(AV68)</f>
        <v>0.644053912545845</v>
      </c>
      <c r="AX68" s="54" t="n">
        <f aca="false">0.99664719*SIN(AV68)</f>
        <v>0.762415269897027</v>
      </c>
      <c r="AY68" s="54" t="n">
        <f aca="false">6378.14/AU68</f>
        <v>0.015996099415991</v>
      </c>
      <c r="AZ68" s="55" t="n">
        <f aca="false">M68-15*AH68</f>
        <v>132.411575225253</v>
      </c>
      <c r="BA68" s="56" t="n">
        <f aca="false">COS($A$10*AG68)*SIN($A$10*AZ68)</f>
        <v>0.704013237944861</v>
      </c>
      <c r="BB68" s="56" t="n">
        <f aca="false">COS($A$10*AG68)*COS($A$10*AZ68)-AW68*AY68</f>
        <v>-0.653415643540478</v>
      </c>
      <c r="BC68" s="56" t="n">
        <f aca="false">SIN($A$10*AG68)-AX68*AY68</f>
        <v>0.2890860133622</v>
      </c>
      <c r="BD68" s="57" t="n">
        <f aca="false">SQRT(BA68^2+BB68^2+BC68^2)</f>
        <v>1.00307395816394</v>
      </c>
      <c r="BE68" s="58" t="n">
        <f aca="false">AU68*BD68</f>
        <v>399956.637499268</v>
      </c>
    </row>
    <row r="69" customFormat="false" ht="15" hidden="false" customHeight="false" outlineLevel="0" collapsed="false">
      <c r="D69" s="41" t="n">
        <f aca="false">K69-INT(275*E69/9)+IF($A$8="common year",2,1)*INT((E69+9)/12)+30</f>
        <v>9</v>
      </c>
      <c r="E69" s="41" t="n">
        <f aca="false">IF(K69&lt;32,1,INT(9*(IF($A$8="common year",2,1)+K69)/275+0.98))</f>
        <v>3</v>
      </c>
      <c r="F69" s="42" t="n">
        <f aca="false">AM69</f>
        <v>-2.71134315463919</v>
      </c>
      <c r="G69" s="60" t="n">
        <f aca="false">F69+1.02/(TAN($A$10*(F69+10.3/(F69+5.11)))*60)</f>
        <v>-2.09608816435054</v>
      </c>
      <c r="H69" s="43" t="n">
        <f aca="false">100*(1+COS($A$10*AQ69))/2</f>
        <v>36.5249995389106</v>
      </c>
      <c r="I69" s="43" t="n">
        <f aca="false">IF(AI69&gt;180,AT69-180,AT69+180)</f>
        <v>307.192130159486</v>
      </c>
      <c r="J69" s="61" t="n">
        <f aca="false">$J$2+K68</f>
        <v>2459647.5</v>
      </c>
      <c r="K69" s="21" t="n">
        <v>68</v>
      </c>
      <c r="L69" s="62" t="n">
        <f aca="false">(J69-2451545)/36525</f>
        <v>0.221834360027379</v>
      </c>
      <c r="M69" s="63" t="n">
        <f aca="false">MOD(280.46061837+360.98564736629*(J69-2451545)+0.000387933*L69^2-L69^3/38710000+$B$7,360)</f>
        <v>181.668422824703</v>
      </c>
      <c r="N69" s="30" t="n">
        <f aca="false">0.606433+1336.855225*L69 - INT(0.606433+1336.855225*L69)</f>
        <v>0.166856287132077</v>
      </c>
      <c r="O69" s="35" t="n">
        <f aca="false">22640*SIN(P69)-4586*SIN(P69-2*R69)+2370*SIN(2*R69)+769*SIN(2*P69)-668*SIN(Q69)-412*SIN(2*S69)-212*SIN(2*P69-2*R69)-206*SIN(P69+Q69-2*R69)+192*SIN(P69+2*R69)-165*SIN(Q69-2*R69)-125*SIN(R69)-110*SIN(P69+Q69)+148*SIN(P69-Q69)-55*SIN(2*S69-2*R69)</f>
        <v>9225.43613638061</v>
      </c>
      <c r="P69" s="32" t="n">
        <f aca="false">2*PI()*(0.374897+1325.55241*L69 - INT(0.374897+1325.55241*L69))</f>
        <v>2.68899945414887</v>
      </c>
      <c r="Q69" s="36" t="n">
        <f aca="false">2*PI()*(0.993133+99.997361*L69 - INT(0.993133+99.997361*L69))</f>
        <v>1.1057374558585</v>
      </c>
      <c r="R69" s="36" t="n">
        <f aca="false">2*PI()*(0.827361+1236.853086*L69 - INT(0.827361+1236.853086*L69))</f>
        <v>1.28097674340165</v>
      </c>
      <c r="S69" s="36" t="n">
        <f aca="false">2*PI()*(0.259086+1342.227825*L69 - INT(0.259086+1342.227825*L69))</f>
        <v>0.0712297688964984</v>
      </c>
      <c r="T69" s="36" t="n">
        <f aca="false">S69+(O69+412*SIN(2*S69)+541*SIN(Q69))/206264.8062</f>
        <v>0.118583820729496</v>
      </c>
      <c r="U69" s="36" t="n">
        <f aca="false">S69-2*R69</f>
        <v>-2.49072371790681</v>
      </c>
      <c r="V69" s="34" t="n">
        <f aca="false">-526*SIN(U69)+44*SIN(P69+U69)-31*SIN(-P69+U69)-23*SIN(Q69+U69)+11*SIN(-Q69+U69)-25*SIN(-2*P69+S69)+21*SIN(-P69+S69)</f>
        <v>295.90333870076</v>
      </c>
      <c r="W69" s="36" t="n">
        <f aca="false">2*PI()*(N69+O69/1296000-INT(N69+O69/1296000))</f>
        <v>1.09311514825</v>
      </c>
      <c r="X69" s="35" t="n">
        <f aca="false">W69*180/PI()</f>
        <v>62.6308845165425</v>
      </c>
      <c r="Y69" s="36" t="n">
        <f aca="false">(18520*SIN(T69)+V69)/206264.8062</f>
        <v>0.0120569874298746</v>
      </c>
      <c r="Z69" s="36" t="n">
        <f aca="false">Y69*180/PI()</f>
        <v>0.690814493374098</v>
      </c>
      <c r="AA69" s="36" t="n">
        <f aca="false">COS(Y69)*COS(W69)</f>
        <v>0.45968773840526</v>
      </c>
      <c r="AB69" s="36" t="n">
        <f aca="false">COS(Y69)*SIN(W69)</f>
        <v>0.887998772103922</v>
      </c>
      <c r="AC69" s="36" t="n">
        <f aca="false">SIN(Y69)</f>
        <v>0.0120566953093867</v>
      </c>
      <c r="AD69" s="36" t="n">
        <f aca="false">COS($A$10*(23.4393-46.815*L69/3600))*AB69-SIN($A$10*(23.4393-46.815*L69/3600))*AC69</f>
        <v>0.809945350456076</v>
      </c>
      <c r="AE69" s="36" t="n">
        <f aca="false">SIN($A$10*(23.4393-46.815*L69/3600))*AB69+COS($A$10*(23.4393-46.815*L69/3600))*AC69</f>
        <v>0.364246774089273</v>
      </c>
      <c r="AF69" s="36" t="n">
        <f aca="false">SQRT(1-AE69*AE69)</f>
        <v>0.931302468355774</v>
      </c>
      <c r="AG69" s="35" t="n">
        <f aca="false">ATAN(AE69/AF69)/$A$10</f>
        <v>21.361235249727</v>
      </c>
      <c r="AH69" s="36" t="n">
        <f aca="false">IF(24*ATAN(AD69/(AA69+AF69))/PI()&gt;0,24*ATAN(AD69/(AA69+AF69))/PI(),24*ATAN(AD69/(AA69+AF69))/PI()+24)</f>
        <v>4.0281832322253</v>
      </c>
      <c r="AI69" s="63" t="n">
        <f aca="false">IF(M69-15*AH69&gt;0,M69-15*AH69,360+M69-15*AH69)</f>
        <v>121.245674341324</v>
      </c>
      <c r="AJ69" s="32" t="n">
        <f aca="false">0.950724+0.051818*COS(P69)+0.009531*COS(2*R69-P69)+0.007843*COS(2*R69)+0.002824*COS(2*P69)+0.000857*COS(2*R69+P69)+0.000533*COS(2*R69-Q69)*(1-0.002495*(J69-2415020)/36525)+0.000401*COS(2*R69-Q69-P69)*(1-0.002495*(J69-2415020)/36525)+0.00032*COS(P69-Q69)*(1-0.002495*(J69-2415020)/36525)-0.000271*COS(R69)</f>
        <v>0.909310884167425</v>
      </c>
      <c r="AK69" s="36" t="n">
        <f aca="false">ASIN(COS($A$10*$B$5)*COS($A$10*AG69)*COS($A$10*AI69)+SIN($A$10*$B$5)*SIN($A$10*AG69))/$A$10</f>
        <v>-1.8042682824418</v>
      </c>
      <c r="AL69" s="32" t="n">
        <f aca="false">ASIN((0.9983271+0.0016764*COS($A$10*2*$B$5))*COS($A$10*AK69)*SIN($A$10*AJ69))/$A$10</f>
        <v>0.907074872197388</v>
      </c>
      <c r="AM69" s="32" t="n">
        <f aca="false">AK69-AL69</f>
        <v>-2.71134315463919</v>
      </c>
      <c r="AN69" s="35" t="n">
        <f aca="false"> MOD(280.4664567 + 360007.6982779*L69/10 + 0.03032028*L69^2/100 + L69^3/49931000,360)</f>
        <v>346.674206861728</v>
      </c>
      <c r="AO69" s="32" t="n">
        <f aca="false"> AN69 + (1.9146 - 0.004817*L69 - 0.000014*L69^2)*SIN(Q69)+ (0.019993 - 0.000101*L69)*SIN(2*Q69)+ 0.00029*SIN(3*Q69)</f>
        <v>348.400470944939</v>
      </c>
      <c r="AP69" s="32" t="n">
        <f aca="false">ACOS(COS(W69-$A$10*AO69)*COS(Y69))/$A$10</f>
        <v>74.231589621431</v>
      </c>
      <c r="AQ69" s="34" t="n">
        <f aca="false">180 - AP69 -0.1468*(1-0.0549*SIN(Q69))*SIN($A$10*AP69)/(1-0.0167*SIN($A$10*AO69))</f>
        <v>105.634516661643</v>
      </c>
      <c r="AR69" s="64" t="n">
        <f aca="false">SIN($A$10*AI69)</f>
        <v>0.854951034054021</v>
      </c>
      <c r="AS69" s="64" t="n">
        <f aca="false">COS($A$10*AI69)*SIN($A$10*$B$5) - TAN($A$10*AG69)*COS($A$10*$B$5)</f>
        <v>-0.648758085885552</v>
      </c>
      <c r="AT69" s="24" t="n">
        <f aca="false">IF(OR(AND(AR69*AS69&gt;0), AND(AR69&lt;0,AS69&gt;0)), MOD(ATAN2(AS69,AR69)/$A$10+360,360),  ATAN2(AS69,AR69)/$A$10)</f>
        <v>127.192130159486</v>
      </c>
      <c r="AU69" s="39" t="n">
        <f aca="false"> 385000.56 + (-20905355*COS(P69) - 3699111*COS(2*R69-P69) - 2955968*COS(2*R69) - 569925*COS(2*P69) + (1-0.002516*L69)*48888*COS(Q69) - 3149*COS(2*S69)  +246158*COS(2*R69-2*P69) -(1 - 0.002516*L69)*152138*COS(2*R69-Q69-P69) -170733*COS(2*R69+P69) -(1 - 0.002516*L69)*204586*COS(2*R69-Q69) -(1 - 0.002516*L69)*129620*COS(Q69-P69)  + 108743*COS(R69) +(1-0.002516*L69)*104755*COS(Q69+P69) +10321*COS(2*R69-2*S69) +79661*COS(P69-2*S69) -34782*COS(4*R69-P69) -23210*COS(3*P69)  -21636*COS(4*R69-2*P69) +(1 - 0.002516*L69)*24208*COS(2*R69+Q69-P69) +(1 - 0.002516*L69)*30824*COS(2*R69+Q69) -8379*COS(R69-P69) -(1 - 0.002516*L69)*16675*COS(R69+Q69)  -(1 - 0.002516*L69)*12831*COS(2*R69-Q69+P69) -10445*COS(2*R69+2*P69) -11650*COS(4*R69) +14403*COS(2*R69-3*P69) -(1-0.002516*L69)*7003*COS(Q69-2*P69)  + (1 - 0.002516*L69)*10056*COS(2*R69-Q69-2*P69) +6322*COS(R69+P69) -(1 - 0.002516*L69)*(1-0.002516*L69)*9884*COS(2*R69-2*Q69) +(1-0.002516*L69)*5751*COS(Q69+2*P69) - (1-0.002516*L69)^2*4950*COS(2*R69-2*Q69-P69)  +4130*COS(2*R69+P69-2*S69) -(1-0.002516*L69)*3958*COS(4*R69-Q69-P69) +3258*COS(3*R69-P69) +(1 - 0.002516*L69)*2616*COS(2*R69+Q69+P69) -(1 - 0.002516*L69)*1897*COS(4*R69-Q69-2*P69)  -(1-0.002516*L69)^2*2117*COS(2*Q69-P69) +(1-0.002516*L69)^2*2354*COS(2*R69+2*Q69-P69) -1423*COS(4*R69+P69) -1117*COS(4*P69) -(1-0.002516*L69)*1571*COS(4*R69-Q69)  -1739*COS(R69-2*P69) -4421*COS(2*P69-2*S69) +(1-0.002516*L69)^2*1165*COS(2*Q69+P69) +8752*COS(2*R69-P69-2*S69))/1000</f>
        <v>401775.608739572</v>
      </c>
      <c r="AV69" s="54" t="n">
        <f aca="false">ATAN(0.99664719*TAN($A$10*input!$E$2))</f>
        <v>0.871010436227447</v>
      </c>
      <c r="AW69" s="54" t="n">
        <f aca="false">COS(AV69)</f>
        <v>0.644053912545845</v>
      </c>
      <c r="AX69" s="54" t="n">
        <f aca="false">0.99664719*SIN(AV69)</f>
        <v>0.762415269897027</v>
      </c>
      <c r="AY69" s="54" t="n">
        <f aca="false">6378.14/AU69</f>
        <v>0.0158748810561426</v>
      </c>
      <c r="AZ69" s="55" t="n">
        <f aca="false">M69-15*AH69</f>
        <v>121.245674341324</v>
      </c>
      <c r="BA69" s="56" t="n">
        <f aca="false">COS($A$10*AG69)*SIN($A$10*AZ69)</f>
        <v>0.796218008337831</v>
      </c>
      <c r="BB69" s="56" t="n">
        <f aca="false">COS($A$10*AG69)*COS($A$10*AZ69)-AW69*AY69</f>
        <v>-0.493298984414037</v>
      </c>
      <c r="BC69" s="56" t="n">
        <f aca="false">SIN($A$10*AG69)-AX69*AY69</f>
        <v>0.352143522364271</v>
      </c>
      <c r="BD69" s="57" t="n">
        <f aca="false">SQRT(BA69^2+BB69^2+BC69^2)</f>
        <v>1.00065581753593</v>
      </c>
      <c r="BE69" s="58" t="n">
        <f aca="false">AU69*BD69</f>
        <v>402039.100229292</v>
      </c>
    </row>
    <row r="70" customFormat="false" ht="15" hidden="false" customHeight="false" outlineLevel="0" collapsed="false">
      <c r="D70" s="41" t="n">
        <f aca="false">K70-INT(275*E70/9)+IF($A$8="common year",2,1)*INT((E70+9)/12)+30</f>
        <v>10</v>
      </c>
      <c r="E70" s="41" t="n">
        <f aca="false">IF(K70&lt;32,1,INT(9*(IF($A$8="common year",2,1)+K70)/275+0.98))</f>
        <v>3</v>
      </c>
      <c r="F70" s="42" t="n">
        <f aca="false">AM70</f>
        <v>5.83157458046602</v>
      </c>
      <c r="G70" s="60" t="n">
        <f aca="false">F70+1.02/(TAN($A$10*(F70+10.3/(F70+5.11)))*60)</f>
        <v>5.97471587214062</v>
      </c>
      <c r="H70" s="43" t="n">
        <f aca="false">100*(1+COS($A$10*AQ70))/2</f>
        <v>45.8583957542904</v>
      </c>
      <c r="I70" s="43" t="n">
        <f aca="false">IF(AI70&gt;180,AT70-180,AT70+180)</f>
        <v>300.174114073684</v>
      </c>
      <c r="J70" s="61" t="n">
        <f aca="false">$J$2+K69</f>
        <v>2459648.5</v>
      </c>
      <c r="K70" s="21" t="n">
        <v>69</v>
      </c>
      <c r="L70" s="62" t="n">
        <f aca="false">(J70-2451545)/36525</f>
        <v>0.22186173853525</v>
      </c>
      <c r="M70" s="63" t="n">
        <f aca="false">MOD(280.46061837+360.98564736629*(J70-2451545)+0.000387933*L70^2-L70^3/38710000+$B$7,360)</f>
        <v>182.654070195742</v>
      </c>
      <c r="N70" s="30" t="n">
        <f aca="false">0.606433+1336.855225*L70 - INT(0.606433+1336.855225*L70)</f>
        <v>0.203457388432525</v>
      </c>
      <c r="O70" s="35" t="n">
        <f aca="false">22640*SIN(P70)-4586*SIN(P70-2*R70)+2370*SIN(2*R70)+769*SIN(2*P70)-668*SIN(Q70)-412*SIN(2*S70)-212*SIN(2*P70-2*R70)-206*SIN(P70+Q70-2*R70)+192*SIN(P70+2*R70)-165*SIN(Q70-2*R70)-125*SIN(R70)-110*SIN(P70+Q70)+148*SIN(P70-Q70)-55*SIN(2*S70-2*R70)</f>
        <v>4548.0702262366</v>
      </c>
      <c r="P70" s="32" t="n">
        <f aca="false">2*PI()*(0.374897+1325.55241*L70 - INT(0.374897+1325.55241*L70))</f>
        <v>2.91702659792469</v>
      </c>
      <c r="Q70" s="36" t="n">
        <f aca="false">2*PI()*(0.993133+99.997361*L70 - INT(0.993133+99.997361*L70))</f>
        <v>1.1229394257255</v>
      </c>
      <c r="R70" s="36" t="n">
        <f aca="false">2*PI()*(0.827361+1236.853086*L70 - INT(0.827361+1236.853086*L70))</f>
        <v>1.49374545352068</v>
      </c>
      <c r="S70" s="36" t="n">
        <f aca="false">2*PI()*(0.259086+1342.227825*L70 - INT(0.259086+1342.227825*L70))</f>
        <v>0.302125488237503</v>
      </c>
      <c r="T70" s="36" t="n">
        <f aca="false">S70+(O70+412*SIN(2*S70)+541*SIN(Q70))/206264.8062</f>
        <v>0.327674157835115</v>
      </c>
      <c r="U70" s="36" t="n">
        <f aca="false">S70-2*R70</f>
        <v>-2.68536541880385</v>
      </c>
      <c r="V70" s="34" t="n">
        <f aca="false">-526*SIN(U70)+44*SIN(P70+U70)-31*SIN(-P70+U70)-23*SIN(Q70+U70)+11*SIN(-Q70+U70)-25*SIN(-2*P70+S70)+21*SIN(-P70+S70)</f>
        <v>224.508817253271</v>
      </c>
      <c r="W70" s="36" t="n">
        <f aca="false">2*PI()*(N70+O70/1296000-INT(N70+O70/1296000))</f>
        <v>1.30041014031964</v>
      </c>
      <c r="X70" s="35" t="n">
        <f aca="false">W70*180/PI()</f>
        <v>74.5080126763305</v>
      </c>
      <c r="Y70" s="36" t="n">
        <f aca="false">(18520*SIN(T70)+V70)/206264.8062</f>
        <v>0.02998581885659</v>
      </c>
      <c r="Z70" s="36" t="n">
        <f aca="false">Y70*180/PI()</f>
        <v>1.71806086572641</v>
      </c>
      <c r="AA70" s="36" t="n">
        <f aca="false">COS(Y70)*COS(W70)</f>
        <v>0.266983538055033</v>
      </c>
      <c r="AB70" s="36" t="n">
        <f aca="false">COS(Y70)*SIN(W70)</f>
        <v>0.963234608251101</v>
      </c>
      <c r="AC70" s="36" t="n">
        <f aca="false">SIN(Y70)</f>
        <v>0.029981325437106</v>
      </c>
      <c r="AD70" s="36" t="n">
        <f aca="false">COS($A$10*(23.4393-46.815*L70/3600))*AB70-SIN($A$10*(23.4393-46.815*L70/3600))*AC70</f>
        <v>0.871845202235593</v>
      </c>
      <c r="AE70" s="36" t="n">
        <f aca="false">SIN($A$10*(23.4393-46.815*L70/3600))*AB70+COS($A$10*(23.4393-46.815*L70/3600))*AC70</f>
        <v>0.410616285291263</v>
      </c>
      <c r="AF70" s="36" t="n">
        <f aca="false">SQRT(1-AE70*AE70)</f>
        <v>0.911808239847395</v>
      </c>
      <c r="AG70" s="35" t="n">
        <f aca="false">ATAN(AE70/AF70)/$A$10</f>
        <v>24.2435547593355</v>
      </c>
      <c r="AH70" s="36" t="n">
        <f aca="false">IF(24*ATAN(AD70/(AA70+AF70))/PI()&gt;0,24*ATAN(AD70/(AA70+AF70))/PI(),24*ATAN(AD70/(AA70+AF70))/PI()+24)</f>
        <v>4.86492917041397</v>
      </c>
      <c r="AI70" s="63" t="n">
        <f aca="false">IF(M70-15*AH70&gt;0,M70-15*AH70,360+M70-15*AH70)</f>
        <v>109.680132639532</v>
      </c>
      <c r="AJ70" s="32" t="n">
        <f aca="false">0.950724+0.051818*COS(P70)+0.009531*COS(2*R70-P70)+0.007843*COS(2*R70)+0.002824*COS(2*P70)+0.000857*COS(2*R70+P70)+0.000533*COS(2*R70-Q70)*(1-0.002495*(J70-2415020)/36525)+0.000401*COS(2*R70-Q70-P70)*(1-0.002495*(J70-2415020)/36525)+0.00032*COS(P70-Q70)*(1-0.002495*(J70-2415020)/36525)-0.000271*COS(R70)</f>
        <v>0.905257307135158</v>
      </c>
      <c r="AK70" s="36" t="n">
        <f aca="false">ASIN(COS($A$10*$B$5)*COS($A$10*AG70)*COS($A$10*AI70)+SIN($A$10*$B$5)*SIN($A$10*AG70))/$A$10</f>
        <v>6.7288299710674</v>
      </c>
      <c r="AL70" s="32" t="n">
        <f aca="false">ASIN((0.9983271+0.0016764*COS($A$10*2*$B$5))*COS($A$10*AK70)*SIN($A$10*AJ70))/$A$10</f>
        <v>0.897255390601379</v>
      </c>
      <c r="AM70" s="32" t="n">
        <f aca="false">AK70-AL70</f>
        <v>5.83157458046602</v>
      </c>
      <c r="AN70" s="35" t="n">
        <f aca="false"> MOD(280.4664567 + 360007.6982779*L70/10 + 0.03032028*L70^2/100 + L70^3/49931000,360)</f>
        <v>347.659854225512</v>
      </c>
      <c r="AO70" s="32" t="n">
        <f aca="false"> AN70 + (1.9146 - 0.004817*L70 - 0.000014*L70^2)*SIN(Q70)+ (0.019993 - 0.000101*L70)*SIN(2*Q70)+ 0.00029*SIN(3*Q70)</f>
        <v>349.400191917943</v>
      </c>
      <c r="AP70" s="32" t="n">
        <f aca="false">ACOS(COS(W70-$A$10*AO70)*COS(Y70))/$A$10</f>
        <v>85.110025349979</v>
      </c>
      <c r="AQ70" s="34" t="n">
        <f aca="false">180 - AP70 -0.1468*(1-0.0549*SIN(Q70))*SIN($A$10*AP70)/(1-0.0167*SIN($A$10*AO70))</f>
        <v>94.7513727905673</v>
      </c>
      <c r="AR70" s="64" t="n">
        <f aca="false">SIN($A$10*AI70)</f>
        <v>0.941587376278981</v>
      </c>
      <c r="AS70" s="64" t="n">
        <f aca="false">COS($A$10*AI70)*SIN($A$10*$B$5) - TAN($A$10*AG70)*COS($A$10*$B$5)</f>
        <v>-0.547447583464195</v>
      </c>
      <c r="AT70" s="24" t="n">
        <f aca="false">IF(OR(AND(AR70*AS70&gt;0), AND(AR70&lt;0,AS70&gt;0)), MOD(ATAN2(AS70,AR70)/$A$10+360,360),  ATAN2(AS70,AR70)/$A$10)</f>
        <v>120.174114073684</v>
      </c>
      <c r="AU70" s="39" t="n">
        <f aca="false"> 385000.56 + (-20905355*COS(P70) - 3699111*COS(2*R70-P70) - 2955968*COS(2*R70) - 569925*COS(2*P70) + (1-0.002516*L70)*48888*COS(Q70) - 3149*COS(2*S70)  +246158*COS(2*R70-2*P70) -(1 - 0.002516*L70)*152138*COS(2*R70-Q70-P70) -170733*COS(2*R70+P70) -(1 - 0.002516*L70)*204586*COS(2*R70-Q70) -(1 - 0.002516*L70)*129620*COS(Q70-P70)  + 108743*COS(R70) +(1-0.002516*L70)*104755*COS(Q70+P70) +10321*COS(2*R70-2*S70) +79661*COS(P70-2*S70) -34782*COS(4*R70-P70) -23210*COS(3*P70)  -21636*COS(4*R70-2*P70) +(1 - 0.002516*L70)*24208*COS(2*R70+Q70-P70) +(1 - 0.002516*L70)*30824*COS(2*R70+Q70) -8379*COS(R70-P70) -(1 - 0.002516*L70)*16675*COS(R70+Q70)  -(1 - 0.002516*L70)*12831*COS(2*R70-Q70+P70) -10445*COS(2*R70+2*P70) -11650*COS(4*R70) +14403*COS(2*R70-3*P70) -(1-0.002516*L70)*7003*COS(Q70-2*P70)  + (1 - 0.002516*L70)*10056*COS(2*R70-Q70-2*P70) +6322*COS(R70+P70) -(1 - 0.002516*L70)*(1-0.002516*L70)*9884*COS(2*R70-2*Q70) +(1-0.002516*L70)*5751*COS(Q70+2*P70) - (1-0.002516*L70)^2*4950*COS(2*R70-2*Q70-P70)  +4130*COS(2*R70+P70-2*S70) -(1-0.002516*L70)*3958*COS(4*R70-Q70-P70) +3258*COS(3*R70-P70) +(1 - 0.002516*L70)*2616*COS(2*R70+Q70+P70) -(1 - 0.002516*L70)*1897*COS(4*R70-Q70-2*P70)  -(1-0.002516*L70)^2*2117*COS(2*Q70-P70) +(1-0.002516*L70)^2*2354*COS(2*R70+2*Q70-P70) -1423*COS(4*R70+P70) -1117*COS(4*P70) -(1-0.002516*L70)*1571*COS(4*R70-Q70)  -1739*COS(R70-2*P70) -4421*COS(2*P70-2*S70) +(1-0.002516*L70)^2*1165*COS(2*Q70+P70) +8752*COS(2*R70-P70-2*S70))/1000</f>
        <v>403662.053956341</v>
      </c>
      <c r="AV70" s="54" t="n">
        <f aca="false">ATAN(0.99664719*TAN($A$10*input!$E$2))</f>
        <v>0.871010436227447</v>
      </c>
      <c r="AW70" s="54" t="n">
        <f aca="false">COS(AV70)</f>
        <v>0.644053912545845</v>
      </c>
      <c r="AX70" s="54" t="n">
        <f aca="false">0.99664719*SIN(AV70)</f>
        <v>0.762415269897027</v>
      </c>
      <c r="AY70" s="54" t="n">
        <f aca="false">6378.14/AU70</f>
        <v>0.0158006925285324</v>
      </c>
      <c r="AZ70" s="55" t="n">
        <f aca="false">M70-15*AH70</f>
        <v>109.680132639532</v>
      </c>
      <c r="BA70" s="56" t="n">
        <f aca="false">COS($A$10*AG70)*SIN($A$10*AZ70)</f>
        <v>0.858547128227464</v>
      </c>
      <c r="BB70" s="56" t="n">
        <f aca="false">COS($A$10*AG70)*COS($A$10*AZ70)-AW70*AY70</f>
        <v>-0.31724504860415</v>
      </c>
      <c r="BC70" s="56" t="n">
        <f aca="false">SIN($A$10*AG70)-AX70*AY70</f>
        <v>0.398569596032562</v>
      </c>
      <c r="BD70" s="57" t="n">
        <f aca="false">SQRT(BA70^2+BB70^2+BC70^2)</f>
        <v>0.998301214630652</v>
      </c>
      <c r="BE70" s="58" t="n">
        <f aca="false">AU70*BD70</f>
        <v>402976.318764919</v>
      </c>
    </row>
    <row r="71" customFormat="false" ht="15" hidden="false" customHeight="false" outlineLevel="0" collapsed="false">
      <c r="D71" s="41" t="n">
        <f aca="false">K71-INT(275*E71/9)+IF($A$8="common year",2,1)*INT((E71+9)/12)+30</f>
        <v>11</v>
      </c>
      <c r="E71" s="41" t="n">
        <f aca="false">IF(K71&lt;32,1,INT(9*(IF($A$8="common year",2,1)+K71)/275+0.98))</f>
        <v>3</v>
      </c>
      <c r="F71" s="42" t="n">
        <f aca="false">AM71</f>
        <v>14.1256604463071</v>
      </c>
      <c r="G71" s="60" t="n">
        <f aca="false">F71+1.02/(TAN($A$10*(F71+10.3/(F71+5.11)))*60)</f>
        <v>14.1906401855087</v>
      </c>
      <c r="H71" s="43" t="n">
        <f aca="false">100*(1+COS($A$10*AQ71))/2</f>
        <v>55.2760335675834</v>
      </c>
      <c r="I71" s="43" t="n">
        <f aca="false">IF(AI71&gt;180,AT71-180,AT71+180)</f>
        <v>292.832316106192</v>
      </c>
      <c r="J71" s="61" t="n">
        <f aca="false">$J$2+K70</f>
        <v>2459649.5</v>
      </c>
      <c r="K71" s="21" t="n">
        <v>70</v>
      </c>
      <c r="L71" s="62" t="n">
        <f aca="false">(J71-2451545)/36525</f>
        <v>0.221889117043121</v>
      </c>
      <c r="M71" s="63" t="n">
        <f aca="false">MOD(280.46061837+360.98564736629*(J71-2451545)+0.000387933*L71^2-L71^3/38710000+$B$7,360)</f>
        <v>183.639717566315</v>
      </c>
      <c r="N71" s="30" t="n">
        <f aca="false">0.606433+1336.855225*L71 - INT(0.606433+1336.855225*L71)</f>
        <v>0.24005848973303</v>
      </c>
      <c r="O71" s="35" t="n">
        <f aca="false">22640*SIN(P71)-4586*SIN(P71-2*R71)+2370*SIN(2*R71)+769*SIN(2*P71)-668*SIN(Q71)-412*SIN(2*S71)-212*SIN(2*P71-2*R71)-206*SIN(P71+Q71-2*R71)+192*SIN(P71+2*R71)-165*SIN(Q71-2*R71)-125*SIN(R71)-110*SIN(P71+Q71)+148*SIN(P71-Q71)-55*SIN(2*S71-2*R71)</f>
        <v>-347.106487225888</v>
      </c>
      <c r="P71" s="32" t="n">
        <f aca="false">2*PI()*(0.374897+1325.55241*L71 - INT(0.374897+1325.55241*L71))</f>
        <v>3.14505374170051</v>
      </c>
      <c r="Q71" s="36" t="n">
        <f aca="false">2*PI()*(0.993133+99.997361*L71 - INT(0.993133+99.997361*L71))</f>
        <v>1.14014139559249</v>
      </c>
      <c r="R71" s="36" t="n">
        <f aca="false">2*PI()*(0.827361+1236.853086*L71 - INT(0.827361+1236.853086*L71))</f>
        <v>1.7065141636397</v>
      </c>
      <c r="S71" s="36" t="n">
        <f aca="false">2*PI()*(0.259086+1342.227825*L71 - INT(0.259086+1342.227825*L71))</f>
        <v>0.533021207578507</v>
      </c>
      <c r="T71" s="36" t="n">
        <f aca="false">S71+(O71+412*SIN(2*S71)+541*SIN(Q71))/206264.8062</f>
        <v>0.535470084376602</v>
      </c>
      <c r="U71" s="36" t="n">
        <f aca="false">S71-2*R71</f>
        <v>-2.8800071197009</v>
      </c>
      <c r="V71" s="34" t="n">
        <f aca="false">-526*SIN(U71)+44*SIN(P71+U71)-31*SIN(-P71+U71)-23*SIN(Q71+U71)+11*SIN(-Q71+U71)-25*SIN(-2*P71+S71)+21*SIN(-P71+S71)</f>
        <v>147.620589171211</v>
      </c>
      <c r="W71" s="36" t="n">
        <f aca="false">2*PI()*(N71+O71/1296000-INT(N71+O71/1296000))</f>
        <v>1.50664915581621</v>
      </c>
      <c r="X71" s="35" t="n">
        <f aca="false">W71*180/PI()</f>
        <v>86.3246378352171</v>
      </c>
      <c r="Y71" s="36" t="n">
        <f aca="false">(18520*SIN(T71)+V71)/206264.8062</f>
        <v>0.0465293388591787</v>
      </c>
      <c r="Z71" s="36" t="n">
        <f aca="false">Y71*180/PI()</f>
        <v>2.66593474016499</v>
      </c>
      <c r="AA71" s="36" t="n">
        <f aca="false">COS(Y71)*COS(W71)</f>
        <v>0.0640338087416845</v>
      </c>
      <c r="AB71" s="36" t="n">
        <f aca="false">COS(Y71)*SIN(W71)</f>
        <v>0.996863207210996</v>
      </c>
      <c r="AC71" s="36" t="n">
        <f aca="false">SIN(Y71)</f>
        <v>0.0465125515000048</v>
      </c>
      <c r="AD71" s="36" t="n">
        <f aca="false">COS($A$10*(23.4393-46.815*L71/3600))*AB71-SIN($A$10*(23.4393-46.815*L71/3600))*AC71</f>
        <v>0.89612453005815</v>
      </c>
      <c r="AE71" s="36" t="n">
        <f aca="false">SIN($A$10*(23.4393-46.815*L71/3600))*AB71+COS($A$10*(23.4393-46.815*L71/3600))*AC71</f>
        <v>0.439158852769808</v>
      </c>
      <c r="AF71" s="36" t="n">
        <f aca="false">SQRT(1-AE71*AE71)</f>
        <v>0.898409428954253</v>
      </c>
      <c r="AG71" s="35" t="n">
        <f aca="false">ATAN(AE71/AF71)/$A$10</f>
        <v>26.0502249477307</v>
      </c>
      <c r="AH71" s="36" t="n">
        <f aca="false">IF(24*ATAN(AD71/(AA71+AF71))/PI()&gt;0,24*ATAN(AD71/(AA71+AF71))/PI(),24*ATAN(AD71/(AA71+AF71))/PI()+24)</f>
        <v>5.72751989280093</v>
      </c>
      <c r="AI71" s="63" t="n">
        <f aca="false">IF(M71-15*AH71&gt;0,M71-15*AH71,360+M71-15*AH71)</f>
        <v>97.7269191743012</v>
      </c>
      <c r="AJ71" s="32" t="n">
        <f aca="false">0.950724+0.051818*COS(P71)+0.009531*COS(2*R71-P71)+0.007843*COS(2*R71)+0.002824*COS(2*P71)+0.000857*COS(2*R71+P71)+0.000533*COS(2*R71-Q71)*(1-0.002495*(J71-2415020)/36525)+0.000401*COS(2*R71-Q71-P71)*(1-0.002495*(J71-2415020)/36525)+0.00032*COS(P71-Q71)*(1-0.002495*(J71-2415020)/36525)-0.000271*COS(R71)</f>
        <v>0.904006488396722</v>
      </c>
      <c r="AK71" s="36" t="n">
        <f aca="false">ASIN(COS($A$10*$B$5)*COS($A$10*AG71)*COS($A$10*AI71)+SIN($A$10*$B$5)*SIN($A$10*AG71))/$A$10</f>
        <v>14.9971577151773</v>
      </c>
      <c r="AL71" s="32" t="n">
        <f aca="false">ASIN((0.9983271+0.0016764*COS($A$10*2*$B$5))*COS($A$10*AK71)*SIN($A$10*AJ71))/$A$10</f>
        <v>0.871497268870204</v>
      </c>
      <c r="AM71" s="32" t="n">
        <f aca="false">AK71-AL71</f>
        <v>14.1256604463071</v>
      </c>
      <c r="AN71" s="35" t="n">
        <f aca="false"> MOD(280.4664567 + 360007.6982779*L71/10 + 0.03032028*L71^2/100 + L71^3/49931000,360)</f>
        <v>348.645501589303</v>
      </c>
      <c r="AO71" s="32" t="n">
        <f aca="false"> AN71 + (1.9146 - 0.004817*L71 - 0.000014*L71^2)*SIN(Q71)+ (0.019993 - 0.000101*L71)*SIN(2*Q71)+ 0.00029*SIN(3*Q71)</f>
        <v>350.399384238945</v>
      </c>
      <c r="AP71" s="32" t="n">
        <f aca="false">ACOS(COS(W71-$A$10*AO71)*COS(Y71))/$A$10</f>
        <v>95.9188178055027</v>
      </c>
      <c r="AQ71" s="34" t="n">
        <f aca="false">180 - AP71 -0.1468*(1-0.0549*SIN(Q71))*SIN($A$10*AP71)/(1-0.0167*SIN($A$10*AO71))</f>
        <v>83.9428345155341</v>
      </c>
      <c r="AR71" s="64" t="n">
        <f aca="false">SIN($A$10*AI71)</f>
        <v>0.990920139851587</v>
      </c>
      <c r="AS71" s="64" t="n">
        <f aca="false">COS($A$10*AI71)*SIN($A$10*$B$5) - TAN($A$10*AG71)*COS($A$10*$B$5)</f>
        <v>-0.417202288443442</v>
      </c>
      <c r="AT71" s="24" t="n">
        <f aca="false">IF(OR(AND(AR71*AS71&gt;0), AND(AR71&lt;0,AS71&gt;0)), MOD(ATAN2(AS71,AR71)/$A$10+360,360),  ATAN2(AS71,AR71)/$A$10)</f>
        <v>112.832316106192</v>
      </c>
      <c r="AU71" s="39" t="n">
        <f aca="false"> 385000.56 + (-20905355*COS(P71) - 3699111*COS(2*R71-P71) - 2955968*COS(2*R71) - 569925*COS(2*P71) + (1-0.002516*L71)*48888*COS(Q71) - 3149*COS(2*S71)  +246158*COS(2*R71-2*P71) -(1 - 0.002516*L71)*152138*COS(2*R71-Q71-P71) -170733*COS(2*R71+P71) -(1 - 0.002516*L71)*204586*COS(2*R71-Q71) -(1 - 0.002516*L71)*129620*COS(Q71-P71)  + 108743*COS(R71) +(1-0.002516*L71)*104755*COS(Q71+P71) +10321*COS(2*R71-2*S71) +79661*COS(P71-2*S71) -34782*COS(4*R71-P71) -23210*COS(3*P71)  -21636*COS(4*R71-2*P71) +(1 - 0.002516*L71)*24208*COS(2*R71+Q71-P71) +(1 - 0.002516*L71)*30824*COS(2*R71+Q71) -8379*COS(R71-P71) -(1 - 0.002516*L71)*16675*COS(R71+Q71)  -(1 - 0.002516*L71)*12831*COS(2*R71-Q71+P71) -10445*COS(2*R71+2*P71) -11650*COS(4*R71) +14403*COS(2*R71-3*P71) -(1-0.002516*L71)*7003*COS(Q71-2*P71)  + (1 - 0.002516*L71)*10056*COS(2*R71-Q71-2*P71) +6322*COS(R71+P71) -(1 - 0.002516*L71)*(1-0.002516*L71)*9884*COS(2*R71-2*Q71) +(1-0.002516*L71)*5751*COS(Q71+2*P71) - (1-0.002516*L71)^2*4950*COS(2*R71-2*Q71-P71)  +4130*COS(2*R71+P71-2*S71) -(1-0.002516*L71)*3958*COS(4*R71-Q71-P71) +3258*COS(3*R71-P71) +(1 - 0.002516*L71)*2616*COS(2*R71+Q71+P71) -(1 - 0.002516*L71)*1897*COS(4*R71-Q71-2*P71)  -(1-0.002516*L71)^2*2117*COS(2*Q71-P71) +(1-0.002516*L71)^2*2354*COS(2*R71+2*Q71-P71) -1423*COS(4*R71+P71) -1117*COS(4*P71) -(1-0.002516*L71)*1571*COS(4*R71-Q71)  -1739*COS(R71-2*P71) -4421*COS(2*P71-2*S71) +(1-0.002516*L71)^2*1165*COS(2*Q71+P71) +8752*COS(2*R71-P71-2*S71))/1000</f>
        <v>404268.042213051</v>
      </c>
      <c r="AV71" s="54" t="n">
        <f aca="false">ATAN(0.99664719*TAN($A$10*input!$E$2))</f>
        <v>0.871010436227447</v>
      </c>
      <c r="AW71" s="54" t="n">
        <f aca="false">COS(AV71)</f>
        <v>0.644053912545845</v>
      </c>
      <c r="AX71" s="54" t="n">
        <f aca="false">0.99664719*SIN(AV71)</f>
        <v>0.762415269897027</v>
      </c>
      <c r="AY71" s="54" t="n">
        <f aca="false">6378.14/AU71</f>
        <v>0.0157770076632441</v>
      </c>
      <c r="AZ71" s="55" t="n">
        <f aca="false">M71-15*AH71</f>
        <v>97.7269191743012</v>
      </c>
      <c r="BA71" s="56" t="n">
        <f aca="false">COS($A$10*AG71)*SIN($A$10*AZ71)</f>
        <v>0.890251996983332</v>
      </c>
      <c r="BB71" s="56" t="n">
        <f aca="false">COS($A$10*AG71)*COS($A$10*AZ71)-AW71*AY71</f>
        <v>-0.13095397467379</v>
      </c>
      <c r="BC71" s="56" t="n">
        <f aca="false">SIN($A$10*AG71)-AX71*AY71</f>
        <v>0.427130221214068</v>
      </c>
      <c r="BD71" s="57" t="n">
        <f aca="false">SQRT(BA71^2+BB71^2+BC71^2)</f>
        <v>0.996061136421883</v>
      </c>
      <c r="BE71" s="58" t="n">
        <f aca="false">AU71*BD71</f>
        <v>402675.685545781</v>
      </c>
    </row>
    <row r="72" customFormat="false" ht="15" hidden="false" customHeight="false" outlineLevel="0" collapsed="false">
      <c r="D72" s="41" t="n">
        <f aca="false">K72-INT(275*E72/9)+IF($A$8="common year",2,1)*INT((E72+9)/12)+30</f>
        <v>12</v>
      </c>
      <c r="E72" s="41" t="n">
        <f aca="false">IF(K72&lt;32,1,INT(9*(IF($A$8="common year",2,1)+K72)/275+0.98))</f>
        <v>3</v>
      </c>
      <c r="F72" s="42" t="n">
        <f aca="false">AM72</f>
        <v>22.0646591736491</v>
      </c>
      <c r="G72" s="60" t="n">
        <f aca="false">F72+1.02/(TAN($A$10*(F72+10.3/(F72+5.11)))*60)</f>
        <v>22.1058151641278</v>
      </c>
      <c r="H72" s="43" t="n">
        <f aca="false">100*(1+COS($A$10*AQ72))/2</f>
        <v>64.5120235162552</v>
      </c>
      <c r="I72" s="43" t="n">
        <f aca="false">IF(AI72&gt;180,AT72-180,AT72+180)</f>
        <v>284.766393333602</v>
      </c>
      <c r="J72" s="61" t="n">
        <f aca="false">$J$2+K71</f>
        <v>2459650.5</v>
      </c>
      <c r="K72" s="21" t="n">
        <v>71</v>
      </c>
      <c r="L72" s="62" t="n">
        <f aca="false">(J72-2451545)/36525</f>
        <v>0.221916495550992</v>
      </c>
      <c r="M72" s="63" t="n">
        <f aca="false">MOD(280.46061837+360.98564736629*(J72-2451545)+0.000387933*L72^2-L72^3/38710000+$B$7,360)</f>
        <v>184.62536493782</v>
      </c>
      <c r="N72" s="30" t="n">
        <f aca="false">0.606433+1336.855225*L72 - INT(0.606433+1336.855225*L72)</f>
        <v>0.276659591033535</v>
      </c>
      <c r="O72" s="35" t="n">
        <f aca="false">22640*SIN(P72)-4586*SIN(P72-2*R72)+2370*SIN(2*R72)+769*SIN(2*P72)-668*SIN(Q72)-412*SIN(2*S72)-212*SIN(2*P72-2*R72)-206*SIN(P72+Q72-2*R72)+192*SIN(P72+2*R72)-165*SIN(Q72-2*R72)-125*SIN(R72)-110*SIN(P72+Q72)+148*SIN(P72-Q72)-55*SIN(2*S72-2*R72)</f>
        <v>-5140.89691736787</v>
      </c>
      <c r="P72" s="32" t="n">
        <f aca="false">2*PI()*(0.374897+1325.55241*L72 - INT(0.374897+1325.55241*L72))</f>
        <v>3.37308088547632</v>
      </c>
      <c r="Q72" s="36" t="n">
        <f aca="false">2*PI()*(0.993133+99.997361*L72 - INT(0.993133+99.997361*L72))</f>
        <v>1.1573433654595</v>
      </c>
      <c r="R72" s="36" t="n">
        <f aca="false">2*PI()*(0.827361+1236.853086*L72 - INT(0.827361+1236.853086*L72))</f>
        <v>1.91928287375873</v>
      </c>
      <c r="S72" s="36" t="n">
        <f aca="false">2*PI()*(0.259086+1342.227825*L72 - INT(0.259086+1342.227825*L72))</f>
        <v>0.763916926919511</v>
      </c>
      <c r="T72" s="36" t="n">
        <f aca="false">S72+(O72+412*SIN(2*S72)+541*SIN(Q72))/206264.8062</f>
        <v>0.743390583232655</v>
      </c>
      <c r="U72" s="36" t="n">
        <f aca="false">S72-2*R72</f>
        <v>-3.07464882059794</v>
      </c>
      <c r="V72" s="34" t="n">
        <f aca="false">-526*SIN(U72)+44*SIN(P72+U72)-31*SIN(-P72+U72)-23*SIN(Q72+U72)+11*SIN(-Q72+U72)-25*SIN(-2*P72+S72)+21*SIN(-P72+S72)</f>
        <v>66.518278858772</v>
      </c>
      <c r="W72" s="36" t="n">
        <f aca="false">2*PI()*(N72+O72/1296000-INT(N72+O72/1296000))</f>
        <v>1.71337970588509</v>
      </c>
      <c r="X72" s="35" t="n">
        <f aca="false">W72*180/PI()</f>
        <v>98.1694258505817</v>
      </c>
      <c r="Y72" s="36" t="n">
        <f aca="false">(18520*SIN(T72)+V72)/206264.8062</f>
        <v>0.0610895763832061</v>
      </c>
      <c r="Z72" s="36" t="n">
        <f aca="false">Y72*180/PI()</f>
        <v>3.50017489899978</v>
      </c>
      <c r="AA72" s="36" t="n">
        <f aca="false">COS(Y72)*COS(W72)</f>
        <v>-0.141835676429833</v>
      </c>
      <c r="AB72" s="36" t="n">
        <f aca="false">COS(Y72)*SIN(W72)</f>
        <v>0.988005741222796</v>
      </c>
      <c r="AC72" s="36" t="n">
        <f aca="false">SIN(Y72)</f>
        <v>0.0610515864043309</v>
      </c>
      <c r="AD72" s="36" t="n">
        <f aca="false">COS($A$10*(23.4393-46.815*L72/3600))*AB72-SIN($A$10*(23.4393-46.815*L72/3600))*AC72</f>
        <v>0.882215163574595</v>
      </c>
      <c r="AE72" s="36" t="n">
        <f aca="false">SIN($A$10*(23.4393-46.815*L72/3600))*AB72+COS($A$10*(23.4393-46.815*L72/3600))*AC72</f>
        <v>0.448975551729425</v>
      </c>
      <c r="AF72" s="36" t="n">
        <f aca="false">SQRT(1-AE72*AE72)</f>
        <v>0.893544041415563</v>
      </c>
      <c r="AG72" s="35" t="n">
        <f aca="false">ATAN(AE72/AF72)/$A$10</f>
        <v>26.6779753909873</v>
      </c>
      <c r="AH72" s="36" t="n">
        <f aca="false">IF(24*ATAN(AD72/(AA72+AF72))/PI()&gt;0,24*ATAN(AD72/(AA72+AF72))/PI(),24*ATAN(AD72/(AA72+AF72))/PI()+24)</f>
        <v>6.60889409217721</v>
      </c>
      <c r="AI72" s="63" t="n">
        <f aca="false">IF(M72-15*AH72&gt;0,M72-15*AH72,360+M72-15*AH72)</f>
        <v>85.4919535551615</v>
      </c>
      <c r="AJ72" s="32" t="n">
        <f aca="false">0.950724+0.051818*COS(P72)+0.009531*COS(2*R72-P72)+0.007843*COS(2*R72)+0.002824*COS(2*P72)+0.000857*COS(2*R72+P72)+0.000533*COS(2*R72-Q72)*(1-0.002495*(J72-2415020)/36525)+0.000401*COS(2*R72-Q72-P72)*(1-0.002495*(J72-2415020)/36525)+0.00032*COS(P72-Q72)*(1-0.002495*(J72-2415020)/36525)-0.000271*COS(R72)</f>
        <v>0.905563876440415</v>
      </c>
      <c r="AK72" s="36" t="n">
        <f aca="false">ASIN(COS($A$10*$B$5)*COS($A$10*AG72)*COS($A$10*AI72)+SIN($A$10*$B$5)*SIN($A$10*AG72))/$A$10</f>
        <v>22.897224714386</v>
      </c>
      <c r="AL72" s="32" t="n">
        <f aca="false">ASIN((0.9983271+0.0016764*COS($A$10*2*$B$5))*COS($A$10*AK72)*SIN($A$10*AJ72))/$A$10</f>
        <v>0.83256554073688</v>
      </c>
      <c r="AM72" s="32" t="n">
        <f aca="false">AK72-AL72</f>
        <v>22.0646591736491</v>
      </c>
      <c r="AN72" s="35" t="n">
        <f aca="false"> MOD(280.4664567 + 360007.6982779*L72/10 + 0.03032028*L72^2/100 + L72^3/49931000,360)</f>
        <v>349.631148953089</v>
      </c>
      <c r="AO72" s="32" t="n">
        <f aca="false"> AN72 + (1.9146 - 0.004817*L72 - 0.000014*L72^2)*SIN(Q72)+ (0.019993 - 0.000101*L72)*SIN(2*Q72)+ 0.00029*SIN(3*Q72)</f>
        <v>351.398044323586</v>
      </c>
      <c r="AP72" s="32" t="n">
        <f aca="false">ACOS(COS(W72-$A$10*AO72)*COS(Y72))/$A$10</f>
        <v>106.739173866373</v>
      </c>
      <c r="AQ72" s="34" t="n">
        <f aca="false">180 - AP72 -0.1468*(1-0.0549*SIN(Q72))*SIN($A$10*AP72)/(1-0.0167*SIN($A$10*AO72))</f>
        <v>73.1276468240881</v>
      </c>
      <c r="AR72" s="64" t="n">
        <f aca="false">SIN($A$10*AI72)</f>
        <v>0.996906305345758</v>
      </c>
      <c r="AS72" s="64" t="n">
        <f aca="false">COS($A$10*AI72)*SIN($A$10*$B$5) - TAN($A$10*AG72)*COS($A$10*$B$5)</f>
        <v>-0.262768553060842</v>
      </c>
      <c r="AT72" s="24" t="n">
        <f aca="false">IF(OR(AND(AR72*AS72&gt;0), AND(AR72&lt;0,AS72&gt;0)), MOD(ATAN2(AS72,AR72)/$A$10+360,360),  ATAN2(AS72,AR72)/$A$10)</f>
        <v>104.766393333602</v>
      </c>
      <c r="AU72" s="39" t="n">
        <f aca="false"> 385000.56 + (-20905355*COS(P72) - 3699111*COS(2*R72-P72) - 2955968*COS(2*R72) - 569925*COS(2*P72) + (1-0.002516*L72)*48888*COS(Q72) - 3149*COS(2*S72)  +246158*COS(2*R72-2*P72) -(1 - 0.002516*L72)*152138*COS(2*R72-Q72-P72) -170733*COS(2*R72+P72) -(1 - 0.002516*L72)*204586*COS(2*R72-Q72) -(1 - 0.002516*L72)*129620*COS(Q72-P72)  + 108743*COS(R72) +(1-0.002516*L72)*104755*COS(Q72+P72) +10321*COS(2*R72-2*S72) +79661*COS(P72-2*S72) -34782*COS(4*R72-P72) -23210*COS(3*P72)  -21636*COS(4*R72-2*P72) +(1 - 0.002516*L72)*24208*COS(2*R72+Q72-P72) +(1 - 0.002516*L72)*30824*COS(2*R72+Q72) -8379*COS(R72-P72) -(1 - 0.002516*L72)*16675*COS(R72+Q72)  -(1 - 0.002516*L72)*12831*COS(2*R72-Q72+P72) -10445*COS(2*R72+2*P72) -11650*COS(4*R72) +14403*COS(2*R72-3*P72) -(1-0.002516*L72)*7003*COS(Q72-2*P72)  + (1 - 0.002516*L72)*10056*COS(2*R72-Q72-2*P72) +6322*COS(R72+P72) -(1 - 0.002516*L72)*(1-0.002516*L72)*9884*COS(2*R72-2*Q72) +(1-0.002516*L72)*5751*COS(Q72+2*P72) - (1-0.002516*L72)^2*4950*COS(2*R72-2*Q72-P72)  +4130*COS(2*R72+P72-2*S72) -(1-0.002516*L72)*3958*COS(4*R72-Q72-P72) +3258*COS(3*R72-P72) +(1 - 0.002516*L72)*2616*COS(2*R72+Q72+P72) -(1 - 0.002516*L72)*1897*COS(4*R72-Q72-2*P72)  -(1-0.002516*L72)^2*2117*COS(2*Q72-P72) +(1-0.002516*L72)^2*2354*COS(2*R72+2*Q72-P72) -1423*COS(4*R72+P72) -1117*COS(4*P72) -(1-0.002516*L72)*1571*COS(4*R72-Q72)  -1739*COS(R72-2*P72) -4421*COS(2*P72-2*S72) +(1-0.002516*L72)^2*1165*COS(2*Q72+P72) +8752*COS(2*R72-P72-2*S72))/1000</f>
        <v>403574.174336625</v>
      </c>
      <c r="AV72" s="54" t="n">
        <f aca="false">ATAN(0.99664719*TAN($A$10*input!$E$2))</f>
        <v>0.871010436227447</v>
      </c>
      <c r="AW72" s="54" t="n">
        <f aca="false">COS(AV72)</f>
        <v>0.644053912545845</v>
      </c>
      <c r="AX72" s="54" t="n">
        <f aca="false">0.99664719*SIN(AV72)</f>
        <v>0.762415269897027</v>
      </c>
      <c r="AY72" s="54" t="n">
        <f aca="false">6378.14/AU72</f>
        <v>0.0158041331819214</v>
      </c>
      <c r="AZ72" s="55" t="n">
        <f aca="false">M72-15*AH72</f>
        <v>85.4919535551615</v>
      </c>
      <c r="BA72" s="56" t="n">
        <f aca="false">COS($A$10*AG72)*SIN($A$10*AZ72)</f>
        <v>0.890779688991306</v>
      </c>
      <c r="BB72" s="56" t="n">
        <f aca="false">COS($A$10*AG72)*COS($A$10*AZ72)-AW72*AY72</f>
        <v>0.060053042751974</v>
      </c>
      <c r="BC72" s="56" t="n">
        <f aca="false">SIN($A$10*AG72)-AX72*AY72</f>
        <v>0.436926239264042</v>
      </c>
      <c r="BD72" s="57" t="n">
        <f aca="false">SQRT(BA72^2+BB72^2+BC72^2)</f>
        <v>0.993981569658431</v>
      </c>
      <c r="BE72" s="58" t="n">
        <f aca="false">AU72*BD72</f>
        <v>401145.291280723</v>
      </c>
    </row>
    <row r="73" customFormat="false" ht="15" hidden="false" customHeight="false" outlineLevel="0" collapsed="false">
      <c r="D73" s="41" t="n">
        <f aca="false">K73-INT(275*E73/9)+IF($A$8="common year",2,1)*INT((E73+9)/12)+30</f>
        <v>13</v>
      </c>
      <c r="E73" s="41" t="n">
        <f aca="false">IF(K73&lt;32,1,INT(9*(IF($A$8="common year",2,1)+K73)/275+0.98))</f>
        <v>3</v>
      </c>
      <c r="F73" s="42" t="n">
        <f aca="false">AM73</f>
        <v>29.4798719120437</v>
      </c>
      <c r="G73" s="60" t="n">
        <f aca="false">F73+1.02/(TAN($A$10*(F73+10.3/(F73+5.11)))*60)</f>
        <v>29.5095824568694</v>
      </c>
      <c r="H73" s="43" t="n">
        <f aca="false">100*(1+COS($A$10*AQ73))/2</f>
        <v>73.2974219949051</v>
      </c>
      <c r="I73" s="43" t="n">
        <f aca="false">IF(AI73&gt;180,AT73-180,AT73+180)</f>
        <v>275.517441749669</v>
      </c>
      <c r="J73" s="61" t="n">
        <f aca="false">$J$2+K72</f>
        <v>2459651.5</v>
      </c>
      <c r="K73" s="21" t="n">
        <v>72</v>
      </c>
      <c r="L73" s="62" t="n">
        <f aca="false">(J73-2451545)/36525</f>
        <v>0.221943874058864</v>
      </c>
      <c r="M73" s="63" t="n">
        <f aca="false">MOD(280.46061837+360.98564736629*(J73-2451545)+0.000387933*L73^2-L73^3/38710000+$B$7,360)</f>
        <v>185.611012308858</v>
      </c>
      <c r="N73" s="30" t="n">
        <f aca="false">0.606433+1336.855225*L73 - INT(0.606433+1336.855225*L73)</f>
        <v>0.313260692333984</v>
      </c>
      <c r="O73" s="35" t="n">
        <f aca="false">22640*SIN(P73)-4586*SIN(P73-2*R73)+2370*SIN(2*R73)+769*SIN(2*P73)-668*SIN(Q73)-412*SIN(2*S73)-212*SIN(2*P73-2*R73)-206*SIN(P73+Q73-2*R73)+192*SIN(P73+2*R73)-165*SIN(Q73-2*R73)-125*SIN(R73)-110*SIN(P73+Q73)+148*SIN(P73-Q73)-55*SIN(2*S73-2*R73)</f>
        <v>-9535.83394471444</v>
      </c>
      <c r="P73" s="32" t="n">
        <f aca="false">2*PI()*(0.374897+1325.55241*L73 - INT(0.374897+1325.55241*L73))</f>
        <v>3.60110802925178</v>
      </c>
      <c r="Q73" s="36" t="n">
        <f aca="false">2*PI()*(0.993133+99.997361*L73 - INT(0.993133+99.997361*L73))</f>
        <v>1.17454533532648</v>
      </c>
      <c r="R73" s="36" t="n">
        <f aca="false">2*PI()*(0.827361+1236.853086*L73 - INT(0.827361+1236.853086*L73))</f>
        <v>2.13205158387775</v>
      </c>
      <c r="S73" s="36" t="n">
        <f aca="false">2*PI()*(0.259086+1342.227825*L73 - INT(0.259086+1342.227825*L73))</f>
        <v>0.994812646260515</v>
      </c>
      <c r="T73" s="36" t="n">
        <f aca="false">S73+(O73+412*SIN(2*S73)+541*SIN(Q73))/206264.8062</f>
        <v>0.952826014267787</v>
      </c>
      <c r="U73" s="36" t="n">
        <f aca="false">S73-2*R73</f>
        <v>-3.26929052149499</v>
      </c>
      <c r="V73" s="34" t="n">
        <f aca="false">-526*SIN(U73)+44*SIN(P73+U73)-31*SIN(-P73+U73)-23*SIN(Q73+U73)+11*SIN(-Q73+U73)-25*SIN(-2*P73+S73)+21*SIN(-P73+S73)</f>
        <v>-17.5623056799083</v>
      </c>
      <c r="W73" s="36" t="n">
        <f aca="false">2*PI()*(N73+O73/1296000-INT(N73+O73/1296000))</f>
        <v>1.92204395181793</v>
      </c>
      <c r="X73" s="35" t="n">
        <f aca="false">W73*180/PI()</f>
        <v>110.125006477813</v>
      </c>
      <c r="Y73" s="36" t="n">
        <f aca="false">(18520*SIN(T73)+V73)/206264.8062</f>
        <v>0.0730966999619585</v>
      </c>
      <c r="Z73" s="36" t="n">
        <f aca="false">Y73*180/PI()</f>
        <v>4.18813240415431</v>
      </c>
      <c r="AA73" s="36" t="n">
        <f aca="false">COS(Y73)*COS(W73)</f>
        <v>-0.343150730715596</v>
      </c>
      <c r="AB73" s="36" t="n">
        <f aca="false">COS(Y73)*SIN(W73)</f>
        <v>0.936436841449722</v>
      </c>
      <c r="AC73" s="36" t="n">
        <f aca="false">SIN(Y73)</f>
        <v>0.0730316231848945</v>
      </c>
      <c r="AD73" s="36" t="n">
        <f aca="false">COS($A$10*(23.4393-46.815*L73/3600))*AB73-SIN($A$10*(23.4393-46.815*L73/3600))*AC73</f>
        <v>0.830135762816016</v>
      </c>
      <c r="AE73" s="36" t="n">
        <f aca="false">SIN($A$10*(23.4393-46.815*L73/3600))*AB73+COS($A$10*(23.4393-46.815*L73/3600))*AC73</f>
        <v>0.439456700146015</v>
      </c>
      <c r="AF73" s="36" t="n">
        <f aca="false">SQRT(1-AE73*AE73)</f>
        <v>0.898263774565565</v>
      </c>
      <c r="AG73" s="35" t="n">
        <f aca="false">ATAN(AE73/AF73)/$A$10</f>
        <v>26.0692216104582</v>
      </c>
      <c r="AH73" s="36" t="n">
        <f aca="false">IF(24*ATAN(AD73/(AA73+AF73))/PI()&gt;0,24*ATAN(AD73/(AA73+AF73))/PI(),24*ATAN(AD73/(AA73+AF73))/PI()+24)</f>
        <v>7.49723910154851</v>
      </c>
      <c r="AI73" s="63" t="n">
        <f aca="false">IF(M73-15*AH73&gt;0,M73-15*AH73,360+M73-15*AH73)</f>
        <v>73.1524257856307</v>
      </c>
      <c r="AJ73" s="32" t="n">
        <f aca="false">0.950724+0.051818*COS(P73)+0.009531*COS(2*R73-P73)+0.007843*COS(2*R73)+0.002824*COS(2*P73)+0.000857*COS(2*R73+P73)+0.000533*COS(2*R73-Q73)*(1-0.002495*(J73-2415020)/36525)+0.000401*COS(2*R73-Q73-P73)*(1-0.002495*(J73-2415020)/36525)+0.00032*COS(P73-Q73)*(1-0.002495*(J73-2415020)/36525)-0.000271*COS(R73)</f>
        <v>0.909818451582752</v>
      </c>
      <c r="AK73" s="36" t="n">
        <f aca="false">ASIN(COS($A$10*$B$5)*COS($A$10*AG73)*COS($A$10*AI73)+SIN($A$10*$B$5)*SIN($A$10*AG73))/$A$10</f>
        <v>30.2641404291328</v>
      </c>
      <c r="AL73" s="32" t="n">
        <f aca="false">ASIN((0.9983271+0.0016764*COS($A$10*2*$B$5))*COS($A$10*AK73)*SIN($A$10*AJ73))/$A$10</f>
        <v>0.784268517089127</v>
      </c>
      <c r="AM73" s="32" t="n">
        <f aca="false">AK73-AL73</f>
        <v>29.4798719120437</v>
      </c>
      <c r="AN73" s="35" t="n">
        <f aca="false"> MOD(280.4664567 + 360007.6982779*L73/10 + 0.03032028*L73^2/100 + L73^3/49931000,360)</f>
        <v>350.616796316877</v>
      </c>
      <c r="AO73" s="32" t="n">
        <f aca="false"> AN73 + (1.9146 - 0.004817*L73 - 0.000014*L73^2)*SIN(Q73)+ (0.019993 - 0.000101*L73)*SIN(2*Q73)+ 0.00029*SIN(3*Q73)</f>
        <v>352.396168760428</v>
      </c>
      <c r="AP73" s="32" t="n">
        <f aca="false">ACOS(COS(W73-$A$10*AO73)*COS(Y73))/$A$10</f>
        <v>117.648441662742</v>
      </c>
      <c r="AQ73" s="34" t="n">
        <f aca="false">180 - AP73 -0.1468*(1-0.0549*SIN(Q73))*SIN($A$10*AP73)/(1-0.0167*SIN($A$10*AO73))</f>
        <v>62.2283792662565</v>
      </c>
      <c r="AR73" s="64" t="n">
        <f aca="false">SIN($A$10*AI73)</f>
        <v>0.957079176739028</v>
      </c>
      <c r="AS73" s="64" t="n">
        <f aca="false">COS($A$10*AI73)*SIN($A$10*$B$5) - TAN($A$10*AG73)*COS($A$10*$B$5)</f>
        <v>-0.0924503030585935</v>
      </c>
      <c r="AT73" s="24" t="n">
        <f aca="false">IF(OR(AND(AR73*AS73&gt;0), AND(AR73&lt;0,AS73&gt;0)), MOD(ATAN2(AS73,AR73)/$A$10+360,360),  ATAN2(AS73,AR73)/$A$10)</f>
        <v>95.5174417496694</v>
      </c>
      <c r="AU73" s="39" t="n">
        <f aca="false"> 385000.56 + (-20905355*COS(P73) - 3699111*COS(2*R73-P73) - 2955968*COS(2*R73) - 569925*COS(2*P73) + (1-0.002516*L73)*48888*COS(Q73) - 3149*COS(2*S73)  +246158*COS(2*R73-2*P73) -(1 - 0.002516*L73)*152138*COS(2*R73-Q73-P73) -170733*COS(2*R73+P73) -(1 - 0.002516*L73)*204586*COS(2*R73-Q73) -(1 - 0.002516*L73)*129620*COS(Q73-P73)  + 108743*COS(R73) +(1-0.002516*L73)*104755*COS(Q73+P73) +10321*COS(2*R73-2*S73) +79661*COS(P73-2*S73) -34782*COS(4*R73-P73) -23210*COS(3*P73)  -21636*COS(4*R73-2*P73) +(1 - 0.002516*L73)*24208*COS(2*R73+Q73-P73) +(1 - 0.002516*L73)*30824*COS(2*R73+Q73) -8379*COS(R73-P73) -(1 - 0.002516*L73)*16675*COS(R73+Q73)  -(1 - 0.002516*L73)*12831*COS(2*R73-Q73+P73) -10445*COS(2*R73+2*P73) -11650*COS(4*R73) +14403*COS(2*R73-3*P73) -(1-0.002516*L73)*7003*COS(Q73-2*P73)  + (1 - 0.002516*L73)*10056*COS(2*R73-Q73-2*P73) +6322*COS(R73+P73) -(1 - 0.002516*L73)*(1-0.002516*L73)*9884*COS(2*R73-2*Q73) +(1-0.002516*L73)*5751*COS(Q73+2*P73) - (1-0.002516*L73)^2*4950*COS(2*R73-2*Q73-P73)  +4130*COS(2*R73+P73-2*S73) -(1-0.002516*L73)*3958*COS(4*R73-Q73-P73) +3258*COS(3*R73-P73) +(1 - 0.002516*L73)*2616*COS(2*R73+Q73+P73) -(1 - 0.002516*L73)*1897*COS(4*R73-Q73-2*P73)  -(1-0.002516*L73)^2*2117*COS(2*Q73-P73) +(1-0.002516*L73)^2*2354*COS(2*R73+2*Q73-P73) -1423*COS(4*R73+P73) -1117*COS(4*P73) -(1-0.002516*L73)*1571*COS(4*R73-Q73)  -1739*COS(R73-2*P73) -4421*COS(2*P73-2*S73) +(1-0.002516*L73)^2*1165*COS(2*Q73+P73) +8752*COS(2*R73-P73-2*S73))/1000</f>
        <v>401662.115098474</v>
      </c>
      <c r="AV73" s="54" t="n">
        <f aca="false">ATAN(0.99664719*TAN($A$10*input!$E$2))</f>
        <v>0.871010436227447</v>
      </c>
      <c r="AW73" s="54" t="n">
        <f aca="false">COS(AV73)</f>
        <v>0.644053912545845</v>
      </c>
      <c r="AX73" s="54" t="n">
        <f aca="false">0.99664719*SIN(AV73)</f>
        <v>0.762415269897027</v>
      </c>
      <c r="AY73" s="54" t="n">
        <f aca="false">6378.14/AU73</f>
        <v>0.015879366662291</v>
      </c>
      <c r="AZ73" s="55" t="n">
        <f aca="false">M73-15*AH73</f>
        <v>73.1524257856307</v>
      </c>
      <c r="BA73" s="56" t="n">
        <f aca="false">COS($A$10*AG73)*SIN($A$10*AZ73)</f>
        <v>0.859709553855702</v>
      </c>
      <c r="BB73" s="56" t="n">
        <f aca="false">COS($A$10*AG73)*COS($A$10*AZ73)-AW73*AY73</f>
        <v>0.250113554107585</v>
      </c>
      <c r="BC73" s="56" t="n">
        <f aca="false">SIN($A$10*AG73)-AX73*AY73</f>
        <v>0.42735002852639</v>
      </c>
      <c r="BD73" s="57" t="n">
        <f aca="false">SQRT(BA73^2+BB73^2+BC73^2)</f>
        <v>0.992111563192671</v>
      </c>
      <c r="BE73" s="58" t="n">
        <f aca="false">AU73*BD73</f>
        <v>398493.628885621</v>
      </c>
    </row>
    <row r="74" customFormat="false" ht="15" hidden="false" customHeight="false" outlineLevel="0" collapsed="false">
      <c r="D74" s="41" t="n">
        <f aca="false">K74-INT(275*E74/9)+IF($A$8="common year",2,1)*INT((E74+9)/12)+30</f>
        <v>14</v>
      </c>
      <c r="E74" s="41" t="n">
        <f aca="false">IF(K74&lt;32,1,INT(9*(IF($A$8="common year",2,1)+K74)/275+0.98))</f>
        <v>3</v>
      </c>
      <c r="F74" s="42" t="n">
        <f aca="false">AM74</f>
        <v>36.0923081415722</v>
      </c>
      <c r="G74" s="60" t="n">
        <f aca="false">F74+1.02/(TAN($A$10*(F74+10.3/(F74+5.11)))*60)</f>
        <v>36.115415068125</v>
      </c>
      <c r="H74" s="43" t="n">
        <f aca="false">100*(1+COS($A$10*AQ74))/2</f>
        <v>81.3466002626551</v>
      </c>
      <c r="I74" s="43" t="n">
        <f aca="false">IF(AI74&gt;180,AT74-180,AT74+180)</f>
        <v>264.557437371699</v>
      </c>
      <c r="J74" s="61" t="n">
        <f aca="false">$J$2+K73</f>
        <v>2459652.5</v>
      </c>
      <c r="K74" s="21" t="n">
        <v>73</v>
      </c>
      <c r="L74" s="62" t="n">
        <f aca="false">(J74-2451545)/36525</f>
        <v>0.221971252566735</v>
      </c>
      <c r="M74" s="63" t="n">
        <f aca="false">MOD(280.46061837+360.98564736629*(J74-2451545)+0.000387933*L74^2-L74^3/38710000+$B$7,360)</f>
        <v>186.596659679897</v>
      </c>
      <c r="N74" s="30" t="n">
        <f aca="false">0.606433+1336.855225*L74 - INT(0.606433+1336.855225*L74)</f>
        <v>0.349861793634489</v>
      </c>
      <c r="O74" s="35" t="n">
        <f aca="false">22640*SIN(P74)-4586*SIN(P74-2*R74)+2370*SIN(2*R74)+769*SIN(2*P74)-668*SIN(Q74)-412*SIN(2*S74)-212*SIN(2*P74-2*R74)-206*SIN(P74+Q74-2*R74)+192*SIN(P74+2*R74)-165*SIN(Q74-2*R74)-125*SIN(R74)-110*SIN(P74+Q74)+148*SIN(P74-Q74)-55*SIN(2*S74-2*R74)</f>
        <v>-13269.0343416473</v>
      </c>
      <c r="P74" s="32" t="n">
        <f aca="false">2*PI()*(0.374897+1325.55241*L74 - INT(0.374897+1325.55241*L74))</f>
        <v>3.8291351730276</v>
      </c>
      <c r="Q74" s="36" t="n">
        <f aca="false">2*PI()*(0.993133+99.997361*L74 - INT(0.993133+99.997361*L74))</f>
        <v>1.19174730519347</v>
      </c>
      <c r="R74" s="36" t="n">
        <f aca="false">2*PI()*(0.827361+1236.853086*L74 - INT(0.827361+1236.853086*L74))</f>
        <v>2.34482029399678</v>
      </c>
      <c r="S74" s="36" t="n">
        <f aca="false">2*PI()*(0.259086+1342.227825*L74 - INT(0.259086+1342.227825*L74))</f>
        <v>1.22570836560152</v>
      </c>
      <c r="T74" s="36" t="n">
        <f aca="false">S74+(O74+412*SIN(2*S74)+541*SIN(Q74))/206264.8062</f>
        <v>1.16508664740579</v>
      </c>
      <c r="U74" s="36" t="n">
        <f aca="false">S74-2*R74</f>
        <v>-3.46393222239203</v>
      </c>
      <c r="V74" s="34" t="n">
        <f aca="false">-526*SIN(U74)+44*SIN(P74+U74)-31*SIN(-P74+U74)-23*SIN(Q74+U74)+11*SIN(-Q74+U74)-25*SIN(-2*P74+S74)+21*SIN(-P74+S74)</f>
        <v>-103.155906671163</v>
      </c>
      <c r="W74" s="36" t="n">
        <f aca="false">2*PI()*(N74+O74/1296000-INT(N74+O74/1296000))</f>
        <v>2.13391638746829</v>
      </c>
      <c r="X74" s="35" t="n">
        <f aca="false">W74*180/PI()</f>
        <v>122.264402835736</v>
      </c>
      <c r="Y74" s="36" t="n">
        <f aca="false">(18520*SIN(T74)+V74)/206264.8062</f>
        <v>0.0819986590174574</v>
      </c>
      <c r="Z74" s="36" t="n">
        <f aca="false">Y74*180/PI()</f>
        <v>4.69817708743266</v>
      </c>
      <c r="AA74" s="36" t="n">
        <f aca="false">COS(Y74)*COS(W74)</f>
        <v>-0.532033432854659</v>
      </c>
      <c r="AB74" s="36" t="n">
        <f aca="false">COS(Y74)*SIN(W74)</f>
        <v>0.842752456229085</v>
      </c>
      <c r="AC74" s="36" t="n">
        <f aca="false">SIN(Y74)</f>
        <v>0.081906799746616</v>
      </c>
      <c r="AD74" s="36" t="n">
        <f aca="false">COS($A$10*(23.4393-46.815*L74/3600))*AB74-SIN($A$10*(23.4393-46.815*L74/3600))*AC74</f>
        <v>0.740650217554644</v>
      </c>
      <c r="AE74" s="36" t="n">
        <f aca="false">SIN($A$10*(23.4393-46.815*L74/3600))*AB74+COS($A$10*(23.4393-46.815*L74/3600))*AC74</f>
        <v>0.410338496318766</v>
      </c>
      <c r="AF74" s="36" t="n">
        <f aca="false">SQRT(1-AE74*AE74)</f>
        <v>0.911933286177697</v>
      </c>
      <c r="AG74" s="35" t="n">
        <f aca="false">ATAN(AE74/AF74)/$A$10</f>
        <v>24.2261003828582</v>
      </c>
      <c r="AH74" s="36" t="n">
        <f aca="false">IF(24*ATAN(AD74/(AA74+AF74))/PI()&gt;0,24*ATAN(AD74/(AA74+AF74))/PI(),24*ATAN(AD74/(AA74+AF74))/PI()+24)</f>
        <v>8.37939542429144</v>
      </c>
      <c r="AI74" s="63" t="n">
        <f aca="false">IF(M74-15*AH74&gt;0,M74-15*AH74,360+M74-15*AH74)</f>
        <v>60.9057283155255</v>
      </c>
      <c r="AJ74" s="32" t="n">
        <f aca="false">0.950724+0.051818*COS(P74)+0.009531*COS(2*R74-P74)+0.007843*COS(2*R74)+0.002824*COS(2*P74)+0.000857*COS(2*R74+P74)+0.000533*COS(2*R74-Q74)*(1-0.002495*(J74-2415020)/36525)+0.000401*COS(2*R74-Q74-P74)*(1-0.002495*(J74-2415020)/36525)+0.00032*COS(P74-Q74)*(1-0.002495*(J74-2415020)/36525)-0.000271*COS(R74)</f>
        <v>0.916525606514245</v>
      </c>
      <c r="AK74" s="36" t="n">
        <f aca="false">ASIN(COS($A$10*$B$5)*COS($A$10*AG74)*COS($A$10*AI74)+SIN($A$10*$B$5)*SIN($A$10*AG74))/$A$10</f>
        <v>36.824511802366</v>
      </c>
      <c r="AL74" s="32" t="n">
        <f aca="false">ASIN((0.9983271+0.0016764*COS($A$10*2*$B$5))*COS($A$10*AK74)*SIN($A$10*AJ74))/$A$10</f>
        <v>0.732203660793743</v>
      </c>
      <c r="AM74" s="32" t="n">
        <f aca="false">AK74-AL74</f>
        <v>36.0923081415722</v>
      </c>
      <c r="AN74" s="35" t="n">
        <f aca="false"> MOD(280.4664567 + 360007.6982779*L74/10 + 0.03032028*L74^2/100 + L74^3/49931000,360)</f>
        <v>351.602443680666</v>
      </c>
      <c r="AO74" s="32" t="n">
        <f aca="false"> AN74 + (1.9146 - 0.004817*L74 - 0.000014*L74^2)*SIN(Q74)+ (0.019993 - 0.000101*L74)*SIN(2*Q74)+ 0.00029*SIN(3*Q74)</f>
        <v>353.393754311368</v>
      </c>
      <c r="AP74" s="32" t="n">
        <f aca="false">ACOS(COS(W74-$A$10*AO74)*COS(Y74))/$A$10</f>
        <v>128.715640730645</v>
      </c>
      <c r="AQ74" s="34" t="n">
        <f aca="false">180 - AP74 -0.1468*(1-0.0549*SIN(Q74))*SIN($A$10*AP74)/(1-0.0167*SIN($A$10*AO74))</f>
        <v>51.1758675817301</v>
      </c>
      <c r="AR74" s="64" t="n">
        <f aca="false">SIN($A$10*AI74)</f>
        <v>0.873820841490826</v>
      </c>
      <c r="AS74" s="64" t="n">
        <f aca="false">COS($A$10*AI74)*SIN($A$10*$B$5) - TAN($A$10*AG74)*COS($A$10*$B$5)</f>
        <v>0.0832553601647351</v>
      </c>
      <c r="AT74" s="24" t="n">
        <f aca="false">IF(OR(AND(AR74*AS74&gt;0), AND(AR74&lt;0,AS74&gt;0)), MOD(ATAN2(AS74,AR74)/$A$10+360,360),  ATAN2(AS74,AR74)/$A$10)</f>
        <v>84.5574373716987</v>
      </c>
      <c r="AU74" s="39" t="n">
        <f aca="false"> 385000.56 + (-20905355*COS(P74) - 3699111*COS(2*R74-P74) - 2955968*COS(2*R74) - 569925*COS(2*P74) + (1-0.002516*L74)*48888*COS(Q74) - 3149*COS(2*S74)  +246158*COS(2*R74-2*P74) -(1 - 0.002516*L74)*152138*COS(2*R74-Q74-P74) -170733*COS(2*R74+P74) -(1 - 0.002516*L74)*204586*COS(2*R74-Q74) -(1 - 0.002516*L74)*129620*COS(Q74-P74)  + 108743*COS(R74) +(1-0.002516*L74)*104755*COS(Q74+P74) +10321*COS(2*R74-2*S74) +79661*COS(P74-2*S74) -34782*COS(4*R74-P74) -23210*COS(3*P74)  -21636*COS(4*R74-2*P74) +(1 - 0.002516*L74)*24208*COS(2*R74+Q74-P74) +(1 - 0.002516*L74)*30824*COS(2*R74+Q74) -8379*COS(R74-P74) -(1 - 0.002516*L74)*16675*COS(R74+Q74)  -(1 - 0.002516*L74)*12831*COS(2*R74-Q74+P74) -10445*COS(2*R74+2*P74) -11650*COS(4*R74) +14403*COS(2*R74-3*P74) -(1-0.002516*L74)*7003*COS(Q74-2*P74)  + (1 - 0.002516*L74)*10056*COS(2*R74-Q74-2*P74) +6322*COS(R74+P74) -(1 - 0.002516*L74)*(1-0.002516*L74)*9884*COS(2*R74-2*Q74) +(1-0.002516*L74)*5751*COS(Q74+2*P74) - (1-0.002516*L74)^2*4950*COS(2*R74-2*Q74-P74)  +4130*COS(2*R74+P74-2*S74) -(1-0.002516*L74)*3958*COS(4*R74-Q74-P74) +3258*COS(3*R74-P74) +(1 - 0.002516*L74)*2616*COS(2*R74+Q74+P74) -(1 - 0.002516*L74)*1897*COS(4*R74-Q74-2*P74)  -(1-0.002516*L74)^2*2117*COS(2*Q74-P74) +(1-0.002516*L74)^2*2354*COS(2*R74+2*Q74-P74) -1423*COS(4*R74+P74) -1117*COS(4*P74) -(1-0.002516*L74)*1571*COS(4*R74-Q74)  -1739*COS(R74-2*P74) -4421*COS(2*P74-2*S74) +(1-0.002516*L74)^2*1165*COS(2*Q74+P74) +8752*COS(2*R74-P74-2*S74))/1000</f>
        <v>398705.23834934</v>
      </c>
      <c r="AV74" s="54" t="n">
        <f aca="false">ATAN(0.99664719*TAN($A$10*input!$E$2))</f>
        <v>0.871010436227447</v>
      </c>
      <c r="AW74" s="54" t="n">
        <f aca="false">COS(AV74)</f>
        <v>0.644053912545845</v>
      </c>
      <c r="AX74" s="54" t="n">
        <f aca="false">0.99664719*SIN(AV74)</f>
        <v>0.762415269897027</v>
      </c>
      <c r="AY74" s="54" t="n">
        <f aca="false">6378.14/AU74</f>
        <v>0.0159971311799309</v>
      </c>
      <c r="AZ74" s="55" t="n">
        <f aca="false">M74-15*AH74</f>
        <v>60.9057283155255</v>
      </c>
      <c r="BA74" s="56" t="n">
        <f aca="false">COS($A$10*AG74)*SIN($A$10*AZ74)</f>
        <v>0.79686631151129</v>
      </c>
      <c r="BB74" s="56" t="n">
        <f aca="false">COS($A$10*AG74)*COS($A$10*AZ74)-AW74*AY74</f>
        <v>0.433122739871008</v>
      </c>
      <c r="BC74" s="56" t="n">
        <f aca="false">SIN($A$10*AG74)-AX74*AY74</f>
        <v>0.398142039232641</v>
      </c>
      <c r="BD74" s="57" t="n">
        <f aca="false">SQRT(BA74^2+BB74^2+BC74^2)</f>
        <v>0.990509116373647</v>
      </c>
      <c r="BE74" s="58" t="n">
        <f aca="false">AU74*BD74</f>
        <v>394921.173330949</v>
      </c>
    </row>
    <row r="75" customFormat="false" ht="15" hidden="false" customHeight="false" outlineLevel="0" collapsed="false">
      <c r="D75" s="41" t="n">
        <f aca="false">K75-INT(275*E75/9)+IF($A$8="common year",2,1)*INT((E75+9)/12)+30</f>
        <v>15</v>
      </c>
      <c r="E75" s="41" t="n">
        <f aca="false">IF(K75&lt;32,1,INT(9*(IF($A$8="common year",2,1)+K75)/275+0.98))</f>
        <v>3</v>
      </c>
      <c r="F75" s="42" t="n">
        <f aca="false">AM75</f>
        <v>41.4628834404311</v>
      </c>
      <c r="G75" s="60" t="n">
        <f aca="false">F75+1.02/(TAN($A$10*(F75+10.3/(F75+5.11)))*60)</f>
        <v>41.4819745248094</v>
      </c>
      <c r="H75" s="43" t="n">
        <f aca="false">100*(1+COS($A$10*AQ75))/2</f>
        <v>88.349444579379</v>
      </c>
      <c r="I75" s="43" t="n">
        <f aca="false">IF(AI75&gt;180,AT75-180,AT75+180)</f>
        <v>251.376505068311</v>
      </c>
      <c r="J75" s="61" t="n">
        <f aca="false">$J$2+K74</f>
        <v>2459653.5</v>
      </c>
      <c r="K75" s="21" t="n">
        <v>74</v>
      </c>
      <c r="L75" s="62" t="n">
        <f aca="false">(J75-2451545)/36525</f>
        <v>0.221998631074606</v>
      </c>
      <c r="M75" s="63" t="n">
        <f aca="false">MOD(280.46061837+360.98564736629*(J75-2451545)+0.000387933*L75^2-L75^3/38710000+$B$7,360)</f>
        <v>187.582307050936</v>
      </c>
      <c r="N75" s="30" t="n">
        <f aca="false">0.606433+1336.855225*L75 - INT(0.606433+1336.855225*L75)</f>
        <v>0.386462894934937</v>
      </c>
      <c r="O75" s="35" t="n">
        <f aca="false">22640*SIN(P75)-4586*SIN(P75-2*R75)+2370*SIN(2*R75)+769*SIN(2*P75)-668*SIN(Q75)-412*SIN(2*S75)-212*SIN(2*P75-2*R75)-206*SIN(P75+Q75-2*R75)+192*SIN(P75+2*R75)-165*SIN(Q75-2*R75)-125*SIN(R75)-110*SIN(P75+Q75)+148*SIN(P75-Q75)-55*SIN(2*S75-2*R75)</f>
        <v>-16126.0768313447</v>
      </c>
      <c r="P75" s="32" t="n">
        <f aca="false">2*PI()*(0.374897+1325.55241*L75 - INT(0.374897+1325.55241*L75))</f>
        <v>4.05716231680342</v>
      </c>
      <c r="Q75" s="36" t="n">
        <f aca="false">2*PI()*(0.993133+99.997361*L75 - INT(0.993133+99.997361*L75))</f>
        <v>1.20894927506047</v>
      </c>
      <c r="R75" s="36" t="n">
        <f aca="false">2*PI()*(0.827361+1236.853086*L75 - INT(0.827361+1236.853086*L75))</f>
        <v>2.55758900411544</v>
      </c>
      <c r="S75" s="36" t="n">
        <f aca="false">2*PI()*(0.259086+1342.227825*L75 - INT(0.259086+1342.227825*L75))</f>
        <v>1.45660408494217</v>
      </c>
      <c r="T75" s="36" t="n">
        <f aca="false">S75+(O75+412*SIN(2*S75)+541*SIN(Q75))/206264.8062</f>
        <v>1.38132788412585</v>
      </c>
      <c r="U75" s="36" t="n">
        <f aca="false">S75-2*R75</f>
        <v>-3.65857392328872</v>
      </c>
      <c r="V75" s="34" t="n">
        <f aca="false">-526*SIN(U75)+44*SIN(P75+U75)-31*SIN(-P75+U75)-23*SIN(Q75+U75)+11*SIN(-Q75+U75)-25*SIN(-2*P75+S75)+21*SIN(-P75+S75)</f>
        <v>-188.324719982762</v>
      </c>
      <c r="W75" s="36" t="n">
        <f aca="false">2*PI()*(N75+O75/1296000-INT(N75+O75/1296000))</f>
        <v>2.35003655652069</v>
      </c>
      <c r="X75" s="35" t="n">
        <f aca="false">W75*180/PI()</f>
        <v>134.647176390093</v>
      </c>
      <c r="Y75" s="36" t="n">
        <f aca="false">(18520*SIN(T75)+V75)/206264.8062</f>
        <v>0.0872676763765728</v>
      </c>
      <c r="Z75" s="36" t="n">
        <f aca="false">Y75*180/PI()</f>
        <v>5.00006954429114</v>
      </c>
      <c r="AA75" s="36" t="n">
        <f aca="false">COS(Y75)*COS(W75)</f>
        <v>-0.700064876570454</v>
      </c>
      <c r="AB75" s="36" t="n">
        <f aca="false">COS(Y75)*SIN(W75)</f>
        <v>0.708740315155635</v>
      </c>
      <c r="AC75" s="36" t="n">
        <f aca="false">SIN(Y75)</f>
        <v>0.0871569519056629</v>
      </c>
      <c r="AD75" s="36" t="n">
        <f aca="false">COS($A$10*(23.4393-46.815*L75/3600))*AB75-SIN($A$10*(23.4393-46.815*L75/3600))*AC75</f>
        <v>0.615605658435293</v>
      </c>
      <c r="AE75" s="36" t="n">
        <f aca="false">SIN($A$10*(23.4393-46.815*L75/3600))*AB75+COS($A$10*(23.4393-46.815*L75/3600))*AC75</f>
        <v>0.361854724848032</v>
      </c>
      <c r="AF75" s="36" t="n">
        <f aca="false">SQRT(1-AE75*AE75)</f>
        <v>0.9322344973799</v>
      </c>
      <c r="AG75" s="35" t="n">
        <f aca="false">ATAN(AE75/AF75)/$A$10</f>
        <v>21.2141447941489</v>
      </c>
      <c r="AH75" s="36" t="n">
        <f aca="false">IF(24*ATAN(AD75/(AA75+AF75))/PI()&gt;0,24*ATAN(AD75/(AA75+AF75))/PI(),24*ATAN(AD75/(AA75+AF75))/PI()+24)</f>
        <v>9.24487010762235</v>
      </c>
      <c r="AI75" s="63" t="n">
        <f aca="false">IF(M75-15*AH75&gt;0,M75-15*AH75,360+M75-15*AH75)</f>
        <v>48.9092554366006</v>
      </c>
      <c r="AJ75" s="32" t="n">
        <f aca="false">0.950724+0.051818*COS(P75)+0.009531*COS(2*R75-P75)+0.007843*COS(2*R75)+0.002824*COS(2*P75)+0.000857*COS(2*R75+P75)+0.000533*COS(2*R75-Q75)*(1-0.002495*(J75-2415020)/36525)+0.000401*COS(2*R75-Q75-P75)*(1-0.002495*(J75-2415020)/36525)+0.00032*COS(P75-Q75)*(1-0.002495*(J75-2415020)/36525)-0.000271*COS(R75)</f>
        <v>0.925275241060262</v>
      </c>
      <c r="AK75" s="36" t="n">
        <f aca="false">ASIN(COS($A$10*$B$5)*COS($A$10*AG75)*COS($A$10*AI75)+SIN($A$10*$B$5)*SIN($A$10*AG75))/$A$10</f>
        <v>42.1475395730906</v>
      </c>
      <c r="AL75" s="32" t="n">
        <f aca="false">ASIN((0.9983271+0.0016764*COS($A$10*2*$B$5))*COS($A$10*AK75)*SIN($A$10*AJ75))/$A$10</f>
        <v>0.684656132659511</v>
      </c>
      <c r="AM75" s="32" t="n">
        <f aca="false">AK75-AL75</f>
        <v>41.4628834404311</v>
      </c>
      <c r="AN75" s="35" t="n">
        <f aca="false"> MOD(280.4664567 + 360007.6982779*L75/10 + 0.03032028*L75^2/100 + L75^3/49931000,360)</f>
        <v>352.588091044456</v>
      </c>
      <c r="AO75" s="32" t="n">
        <f aca="false"> AN75 + (1.9146 - 0.004817*L75 - 0.000014*L75^2)*SIN(Q75)+ (0.019993 - 0.000101*L75)*SIN(2*Q75)+ 0.00029*SIN(3*Q75)</f>
        <v>354.390797912021</v>
      </c>
      <c r="AP75" s="32" t="n">
        <f aca="false">ACOS(COS(W75-$A$10*AO75)*COS(Y75))/$A$10</f>
        <v>139.994878719515</v>
      </c>
      <c r="AQ75" s="34" t="n">
        <f aca="false">180 - AP75 -0.1468*(1-0.0549*SIN(Q75))*SIN($A$10*AP75)/(1-0.0167*SIN($A$10*AO75))</f>
        <v>39.9157413892943</v>
      </c>
      <c r="AR75" s="64" t="n">
        <f aca="false">SIN($A$10*AI75)</f>
        <v>0.753669573448102</v>
      </c>
      <c r="AS75" s="64" t="n">
        <f aca="false">COS($A$10*AI75)*SIN($A$10*$B$5) - TAN($A$10*AG75)*COS($A$10*$B$5)</f>
        <v>0.253981936602467</v>
      </c>
      <c r="AT75" s="24" t="n">
        <f aca="false">IF(OR(AND(AR75*AS75&gt;0), AND(AR75&lt;0,AS75&gt;0)), MOD(ATAN2(AS75,AR75)/$A$10+360,360),  ATAN2(AS75,AR75)/$A$10)</f>
        <v>71.3765050683108</v>
      </c>
      <c r="AU75" s="39" t="n">
        <f aca="false"> 385000.56 + (-20905355*COS(P75) - 3699111*COS(2*R75-P75) - 2955968*COS(2*R75) - 569925*COS(2*P75) + (1-0.002516*L75)*48888*COS(Q75) - 3149*COS(2*S75)  +246158*COS(2*R75-2*P75) -(1 - 0.002516*L75)*152138*COS(2*R75-Q75-P75) -170733*COS(2*R75+P75) -(1 - 0.002516*L75)*204586*COS(2*R75-Q75) -(1 - 0.002516*L75)*129620*COS(Q75-P75)  + 108743*COS(R75) +(1-0.002516*L75)*104755*COS(Q75+P75) +10321*COS(2*R75-2*S75) +79661*COS(P75-2*S75) -34782*COS(4*R75-P75) -23210*COS(3*P75)  -21636*COS(4*R75-2*P75) +(1 - 0.002516*L75)*24208*COS(2*R75+Q75-P75) +(1 - 0.002516*L75)*30824*COS(2*R75+Q75) -8379*COS(R75-P75) -(1 - 0.002516*L75)*16675*COS(R75+Q75)  -(1 - 0.002516*L75)*12831*COS(2*R75-Q75+P75) -10445*COS(2*R75+2*P75) -11650*COS(4*R75) +14403*COS(2*R75-3*P75) -(1-0.002516*L75)*7003*COS(Q75-2*P75)  + (1 - 0.002516*L75)*10056*COS(2*R75-Q75-2*P75) +6322*COS(R75+P75) -(1 - 0.002516*L75)*(1-0.002516*L75)*9884*COS(2*R75-2*Q75) +(1-0.002516*L75)*5751*COS(Q75+2*P75) - (1-0.002516*L75)^2*4950*COS(2*R75-2*Q75-P75)  +4130*COS(2*R75+P75-2*S75) -(1-0.002516*L75)*3958*COS(4*R75-Q75-P75) +3258*COS(3*R75-P75) +(1 - 0.002516*L75)*2616*COS(2*R75+Q75+P75) -(1 - 0.002516*L75)*1897*COS(4*R75-Q75-2*P75)  -(1-0.002516*L75)^2*2117*COS(2*Q75-P75) +(1-0.002516*L75)^2*2354*COS(2*R75+2*Q75-P75) -1423*COS(4*R75+P75) -1117*COS(4*P75) -(1-0.002516*L75)*1571*COS(4*R75-Q75)  -1739*COS(R75-2*P75) -4421*COS(2*P75-2*S75) +(1-0.002516*L75)^2*1165*COS(2*Q75+P75) +8752*COS(2*R75-P75-2*S75))/1000</f>
        <v>394952.694362158</v>
      </c>
      <c r="AV75" s="54" t="n">
        <f aca="false">ATAN(0.99664719*TAN($A$10*input!$E$2))</f>
        <v>0.871010436227447</v>
      </c>
      <c r="AW75" s="54" t="n">
        <f aca="false">COS(AV75)</f>
        <v>0.644053912545845</v>
      </c>
      <c r="AX75" s="54" t="n">
        <f aca="false">0.99664719*SIN(AV75)</f>
        <v>0.762415269897027</v>
      </c>
      <c r="AY75" s="54" t="n">
        <f aca="false">6378.14/AU75</f>
        <v>0.0161491239103979</v>
      </c>
      <c r="AZ75" s="55" t="n">
        <f aca="false">M75-15*AH75</f>
        <v>48.9092554366006</v>
      </c>
      <c r="BA75" s="56" t="n">
        <f aca="false">COS($A$10*AG75)*SIN($A$10*AZ75)</f>
        <v>0.702596775993916</v>
      </c>
      <c r="BB75" s="56" t="n">
        <f aca="false">COS($A$10*AG75)*COS($A$10*AZ75)-AW75*AY75</f>
        <v>0.602313487441627</v>
      </c>
      <c r="BC75" s="56" t="n">
        <f aca="false">SIN($A$10*AG75)-AX75*AY75</f>
        <v>0.349542386183285</v>
      </c>
      <c r="BD75" s="57" t="n">
        <f aca="false">SQRT(BA75^2+BB75^2+BC75^2)</f>
        <v>0.989243977252247</v>
      </c>
      <c r="BE75" s="58" t="n">
        <f aca="false">AU75*BD75</f>
        <v>390704.574197312</v>
      </c>
    </row>
    <row r="76" customFormat="false" ht="15" hidden="false" customHeight="false" outlineLevel="0" collapsed="false">
      <c r="D76" s="41" t="n">
        <f aca="false">K76-INT(275*E76/9)+IF($A$8="common year",2,1)*INT((E76+9)/12)+30</f>
        <v>16</v>
      </c>
      <c r="E76" s="41" t="n">
        <f aca="false">IF(K76&lt;32,1,INT(9*(IF($A$8="common year",2,1)+K76)/275+0.98))</f>
        <v>3</v>
      </c>
      <c r="F76" s="42" t="n">
        <f aca="false">AM76</f>
        <v>44.985471445569</v>
      </c>
      <c r="G76" s="60" t="n">
        <f aca="false">F76+1.02/(TAN($A$10*(F76+10.3/(F76+5.11)))*60)</f>
        <v>45.0023584335662</v>
      </c>
      <c r="H76" s="43" t="n">
        <f aca="false">100*(1+COS($A$10*AQ76))/2</f>
        <v>93.9729273920998</v>
      </c>
      <c r="I76" s="43" t="n">
        <f aca="false">IF(AI76&gt;180,AT76-180,AT76+180)</f>
        <v>235.786733764449</v>
      </c>
      <c r="J76" s="61" t="n">
        <f aca="false">$J$2+K75</f>
        <v>2459654.5</v>
      </c>
      <c r="K76" s="21" t="n">
        <v>75</v>
      </c>
      <c r="L76" s="62" t="n">
        <f aca="false">(J76-2451545)/36525</f>
        <v>0.222026009582478</v>
      </c>
      <c r="M76" s="63" t="n">
        <f aca="false">MOD(280.46061837+360.98564736629*(J76-2451545)+0.000387933*L76^2-L76^3/38710000+$B$7,360)</f>
        <v>188.567954421509</v>
      </c>
      <c r="N76" s="30" t="n">
        <f aca="false">0.606433+1336.855225*L76 - INT(0.606433+1336.855225*L76)</f>
        <v>0.423063996235442</v>
      </c>
      <c r="O76" s="35" t="n">
        <f aca="false">22640*SIN(P76)-4586*SIN(P76-2*R76)+2370*SIN(2*R76)+769*SIN(2*P76)-668*SIN(Q76)-412*SIN(2*S76)-212*SIN(2*P76-2*R76)-206*SIN(P76+Q76-2*R76)+192*SIN(P76+2*R76)-165*SIN(Q76-2*R76)-125*SIN(R76)-110*SIN(P76+Q76)+148*SIN(P76-Q76)-55*SIN(2*S76-2*R76)</f>
        <v>-17956.7926551004</v>
      </c>
      <c r="P76" s="32" t="n">
        <f aca="false">2*PI()*(0.374897+1325.55241*L76 - INT(0.374897+1325.55241*L76))</f>
        <v>4.28518946057924</v>
      </c>
      <c r="Q76" s="36" t="n">
        <f aca="false">2*PI()*(0.993133+99.997361*L76 - INT(0.993133+99.997361*L76))</f>
        <v>1.22615124492746</v>
      </c>
      <c r="R76" s="36" t="n">
        <f aca="false">2*PI()*(0.827361+1236.853086*L76 - INT(0.827361+1236.853086*L76))</f>
        <v>2.77035771423447</v>
      </c>
      <c r="S76" s="36" t="n">
        <f aca="false">2*PI()*(0.259086+1342.227825*L76 - INT(0.259086+1342.227825*L76))</f>
        <v>1.68749980428317</v>
      </c>
      <c r="T76" s="36" t="n">
        <f aca="false">S76+(O76+412*SIN(2*S76)+541*SIN(Q76))/206264.8062</f>
        <v>1.60244943070308</v>
      </c>
      <c r="U76" s="36" t="n">
        <f aca="false">S76-2*R76</f>
        <v>-3.85321562418576</v>
      </c>
      <c r="V76" s="34" t="n">
        <f aca="false">-526*SIN(U76)+44*SIN(P76+U76)-31*SIN(-P76+U76)-23*SIN(Q76+U76)+11*SIN(-Q76+U76)-25*SIN(-2*P76+S76)+21*SIN(-P76+S76)</f>
        <v>-270.506655704516</v>
      </c>
      <c r="W76" s="36" t="n">
        <f aca="false">2*PI()*(N76+O76/1296000-INT(N76+O76/1296000))</f>
        <v>2.57113249766281</v>
      </c>
      <c r="X76" s="35" t="n">
        <f aca="false">W76*180/PI()</f>
        <v>147.315040685009</v>
      </c>
      <c r="Y76" s="36" t="n">
        <f aca="false">(18520*SIN(T76)+V76)/206264.8062</f>
        <v>0.0884310643445141</v>
      </c>
      <c r="Z76" s="36" t="n">
        <f aca="false">Y76*180/PI()</f>
        <v>5.06672676479048</v>
      </c>
      <c r="AA76" s="36" t="n">
        <f aca="false">COS(Y76)*COS(W76)</f>
        <v>-0.838363831250501</v>
      </c>
      <c r="AB76" s="36" t="n">
        <f aca="false">COS(Y76)*SIN(W76)</f>
        <v>0.537909282758564</v>
      </c>
      <c r="AC76" s="36" t="n">
        <f aca="false">SIN(Y76)</f>
        <v>0.0883158534644188</v>
      </c>
      <c r="AD76" s="36" t="n">
        <f aca="false">COS($A$10*(23.4393-46.815*L76/3600))*AB76-SIN($A$10*(23.4393-46.815*L76/3600))*AC76</f>
        <v>0.458406908116445</v>
      </c>
      <c r="AE76" s="36" t="n">
        <f aca="false">SIN($A$10*(23.4393-46.815*L76/3600))*AB76+COS($A$10*(23.4393-46.815*L76/3600))*AC76</f>
        <v>0.294973207329247</v>
      </c>
      <c r="AF76" s="36" t="n">
        <f aca="false">SQRT(1-AE76*AE76)</f>
        <v>0.955505524294809</v>
      </c>
      <c r="AG76" s="35" t="n">
        <f aca="false">ATAN(AE76/AF76)/$A$10</f>
        <v>17.1559307733464</v>
      </c>
      <c r="AH76" s="36" t="n">
        <f aca="false">IF(24*ATAN(AD76/(AA76+AF76))/PI()&gt;0,24*ATAN(AD76/(AA76+AF76))/PI(),24*ATAN(AD76/(AA76+AF76))/PI()+24)</f>
        <v>10.0887140333202</v>
      </c>
      <c r="AI76" s="63" t="n">
        <f aca="false">IF(M76-15*AH76&gt;0,M76-15*AH76,360+M76-15*AH76)</f>
        <v>37.2372439217066</v>
      </c>
      <c r="AJ76" s="32" t="n">
        <f aca="false">0.950724+0.051818*COS(P76)+0.009531*COS(2*R76-P76)+0.007843*COS(2*R76)+0.002824*COS(2*P76)+0.000857*COS(2*R76+P76)+0.000533*COS(2*R76-Q76)*(1-0.002495*(J76-2415020)/36525)+0.000401*COS(2*R76-Q76-P76)*(1-0.002495*(J76-2415020)/36525)+0.00032*COS(P76-Q76)*(1-0.002495*(J76-2415020)/36525)-0.000271*COS(R76)</f>
        <v>0.935473548759362</v>
      </c>
      <c r="AK76" s="36" t="n">
        <f aca="false">ASIN(COS($A$10*$B$5)*COS($A$10*AG76)*COS($A$10*AI76)+SIN($A$10*$B$5)*SIN($A$10*AG76))/$A$10</f>
        <v>45.6382422646399</v>
      </c>
      <c r="AL76" s="32" t="n">
        <f aca="false">ASIN((0.9983271+0.0016764*COS($A$10*2*$B$5))*COS($A$10*AK76)*SIN($A$10*AJ76))/$A$10</f>
        <v>0.652770819070873</v>
      </c>
      <c r="AM76" s="32" t="n">
        <f aca="false">AK76-AL76</f>
        <v>44.985471445569</v>
      </c>
      <c r="AN76" s="35" t="n">
        <f aca="false"> MOD(280.4664567 + 360007.6982779*L76/10 + 0.03032028*L76^2/100 + L76^3/49931000,360)</f>
        <v>353.573738408248</v>
      </c>
      <c r="AO76" s="32" t="n">
        <f aca="false"> AN76 + (1.9146 - 0.004817*L76 - 0.000014*L76^2)*SIN(Q76)+ (0.019993 - 0.000101*L76)*SIN(2*Q76)+ 0.00029*SIN(3*Q76)</f>
        <v>355.387296672022</v>
      </c>
      <c r="AP76" s="32" t="n">
        <f aca="false">ACOS(COS(W76-$A$10*AO76)*COS(Y76))/$A$10</f>
        <v>151.51080186261</v>
      </c>
      <c r="AQ76" s="34" t="n">
        <f aca="false">180 - AP76 -0.1468*(1-0.0549*SIN(Q76))*SIN($A$10*AP76)/(1-0.0167*SIN($A$10*AO76))</f>
        <v>28.4228827979497</v>
      </c>
      <c r="AR76" s="64" t="n">
        <f aca="false">SIN($A$10*AI76)</f>
        <v>0.605116754686916</v>
      </c>
      <c r="AS76" s="64" t="n">
        <f aca="false">COS($A$10*AI76)*SIN($A$10*$B$5) - TAN($A$10*AG76)*COS($A$10*$B$5)</f>
        <v>0.411441772296771</v>
      </c>
      <c r="AT76" s="24" t="n">
        <f aca="false">IF(OR(AND(AR76*AS76&gt;0), AND(AR76&lt;0,AS76&gt;0)), MOD(ATAN2(AS76,AR76)/$A$10+360,360),  ATAN2(AS76,AR76)/$A$10)</f>
        <v>55.7867337644487</v>
      </c>
      <c r="AU76" s="39" t="n">
        <f aca="false"> 385000.56 + (-20905355*COS(P76) - 3699111*COS(2*R76-P76) - 2955968*COS(2*R76) - 569925*COS(2*P76) + (1-0.002516*L76)*48888*COS(Q76) - 3149*COS(2*S76)  +246158*COS(2*R76-2*P76) -(1 - 0.002516*L76)*152138*COS(2*R76-Q76-P76) -170733*COS(2*R76+P76) -(1 - 0.002516*L76)*204586*COS(2*R76-Q76) -(1 - 0.002516*L76)*129620*COS(Q76-P76)  + 108743*COS(R76) +(1-0.002516*L76)*104755*COS(Q76+P76) +10321*COS(2*R76-2*S76) +79661*COS(P76-2*S76) -34782*COS(4*R76-P76) -23210*COS(3*P76)  -21636*COS(4*R76-2*P76) +(1 - 0.002516*L76)*24208*COS(2*R76+Q76-P76) +(1 - 0.002516*L76)*30824*COS(2*R76+Q76) -8379*COS(R76-P76) -(1 - 0.002516*L76)*16675*COS(R76+Q76)  -(1 - 0.002516*L76)*12831*COS(2*R76-Q76+P76) -10445*COS(2*R76+2*P76) -11650*COS(4*R76) +14403*COS(2*R76-3*P76) -(1-0.002516*L76)*7003*COS(Q76-2*P76)  + (1 - 0.002516*L76)*10056*COS(2*R76-Q76-2*P76) +6322*COS(R76+P76) -(1 - 0.002516*L76)*(1-0.002516*L76)*9884*COS(2*R76-2*Q76) +(1-0.002516*L76)*5751*COS(Q76+2*P76) - (1-0.002516*L76)^2*4950*COS(2*R76-2*Q76-P76)  +4130*COS(2*R76+P76-2*S76) -(1-0.002516*L76)*3958*COS(4*R76-Q76-P76) +3258*COS(3*R76-P76) +(1 - 0.002516*L76)*2616*COS(2*R76+Q76+P76) -(1 - 0.002516*L76)*1897*COS(4*R76-Q76-2*P76)  -(1-0.002516*L76)^2*2117*COS(2*Q76-P76) +(1-0.002516*L76)^2*2354*COS(2*R76+2*Q76-P76) -1423*COS(4*R76+P76) -1117*COS(4*P76) -(1-0.002516*L76)*1571*COS(4*R76-Q76)  -1739*COS(R76-2*P76) -4421*COS(2*P76-2*S76) +(1-0.002516*L76)^2*1165*COS(2*Q76+P76) +8752*COS(2*R76-P76-2*S76))/1000</f>
        <v>390707.453992208</v>
      </c>
      <c r="AV76" s="54" t="n">
        <f aca="false">ATAN(0.99664719*TAN($A$10*input!$E$2))</f>
        <v>0.871010436227447</v>
      </c>
      <c r="AW76" s="54" t="n">
        <f aca="false">COS(AV76)</f>
        <v>0.644053912545845</v>
      </c>
      <c r="AX76" s="54" t="n">
        <f aca="false">0.99664719*SIN(AV76)</f>
        <v>0.762415269897027</v>
      </c>
      <c r="AY76" s="54" t="n">
        <f aca="false">6378.14/AU76</f>
        <v>0.0163245925687591</v>
      </c>
      <c r="AZ76" s="55" t="n">
        <f aca="false">M76-15*AH76</f>
        <v>37.2372439217066</v>
      </c>
      <c r="BA76" s="56" t="n">
        <f aca="false">COS($A$10*AG76)*SIN($A$10*AZ76)</f>
        <v>0.578192401946695</v>
      </c>
      <c r="BB76" s="56" t="n">
        <f aca="false">COS($A$10*AG76)*COS($A$10*AZ76)-AW76*AY76</f>
        <v>0.750199138101435</v>
      </c>
      <c r="BC76" s="56" t="n">
        <f aca="false">SIN($A$10*AG76)-AX76*AY76</f>
        <v>0.282527088679977</v>
      </c>
      <c r="BD76" s="57" t="n">
        <f aca="false">SQRT(BA76^2+BB76^2+BC76^2)</f>
        <v>0.988396052357053</v>
      </c>
      <c r="BE76" s="58" t="n">
        <f aca="false">AU76*BD76</f>
        <v>386173.705152374</v>
      </c>
    </row>
    <row r="77" customFormat="false" ht="15" hidden="false" customHeight="false" outlineLevel="0" collapsed="false">
      <c r="D77" s="41" t="n">
        <f aca="false">K77-INT(275*E77/9)+IF($A$8="common year",2,1)*INT((E77+9)/12)+30</f>
        <v>17</v>
      </c>
      <c r="E77" s="41" t="n">
        <f aca="false">IF(K77&lt;32,1,INT(9*(IF($A$8="common year",2,1)+K77)/275+0.98))</f>
        <v>3</v>
      </c>
      <c r="F77" s="42" t="n">
        <f aca="false">AM77</f>
        <v>46.0237171394657</v>
      </c>
      <c r="G77" s="60" t="n">
        <f aca="false">F77+1.02/(TAN($A$10*(F77+10.3/(F77+5.11)))*60)</f>
        <v>46.0400052350227</v>
      </c>
      <c r="H77" s="43" t="n">
        <f aca="false">100*(1+COS($A$10*AQ77))/2</f>
        <v>97.8761844766939</v>
      </c>
      <c r="I77" s="43" t="n">
        <f aca="false">IF(AI77&gt;180,AT77-180,AT77+180)</f>
        <v>218.419737146625</v>
      </c>
      <c r="J77" s="61" t="n">
        <f aca="false">$J$2+K76</f>
        <v>2459655.5</v>
      </c>
      <c r="K77" s="21" t="n">
        <v>76</v>
      </c>
      <c r="L77" s="62" t="n">
        <f aca="false">(J77-2451545)/36525</f>
        <v>0.222053388090349</v>
      </c>
      <c r="M77" s="63" t="n">
        <f aca="false">MOD(280.46061837+360.98564736629*(J77-2451545)+0.000387933*L77^2-L77^3/38710000+$B$7,360)</f>
        <v>189.553601792548</v>
      </c>
      <c r="N77" s="30" t="n">
        <f aca="false">0.606433+1336.855225*L77 - INT(0.606433+1336.855225*L77)</f>
        <v>0.459665097535947</v>
      </c>
      <c r="O77" s="35" t="n">
        <f aca="false">22640*SIN(P77)-4586*SIN(P77-2*R77)+2370*SIN(2*R77)+769*SIN(2*P77)-668*SIN(Q77)-412*SIN(2*S77)-212*SIN(2*P77-2*R77)-206*SIN(P77+Q77-2*R77)+192*SIN(P77+2*R77)-165*SIN(Q77-2*R77)-125*SIN(R77)-110*SIN(P77+Q77)+148*SIN(P77-Q77)-55*SIN(2*S77-2*R77)</f>
        <v>-18690.1944369436</v>
      </c>
      <c r="P77" s="32" t="n">
        <f aca="false">2*PI()*(0.374897+1325.55241*L77 - INT(0.374897+1325.55241*L77))</f>
        <v>4.51321660435506</v>
      </c>
      <c r="Q77" s="36" t="n">
        <f aca="false">2*PI()*(0.993133+99.997361*L77 - INT(0.993133+99.997361*L77))</f>
        <v>1.24335321479446</v>
      </c>
      <c r="R77" s="36" t="n">
        <f aca="false">2*PI()*(0.827361+1236.853086*L77 - INT(0.827361+1236.853086*L77))</f>
        <v>2.98312642435349</v>
      </c>
      <c r="S77" s="36" t="n">
        <f aca="false">2*PI()*(0.259086+1342.227825*L77 - INT(0.259086+1342.227825*L77))</f>
        <v>1.91839552362418</v>
      </c>
      <c r="T77" s="36" t="n">
        <f aca="false">S77+(O77+412*SIN(2*S77)+541*SIN(Q77))/206264.8062</f>
        <v>1.82898695763325</v>
      </c>
      <c r="U77" s="36" t="n">
        <f aca="false">S77-2*R77</f>
        <v>-4.04785732508281</v>
      </c>
      <c r="V77" s="34" t="n">
        <f aca="false">-526*SIN(U77)+44*SIN(P77+U77)-31*SIN(-P77+U77)-23*SIN(Q77+U77)+11*SIN(-Q77+U77)-25*SIN(-2*P77+S77)+21*SIN(-P77+S77)</f>
        <v>-346.49974842677</v>
      </c>
      <c r="W77" s="36" t="n">
        <f aca="false">2*PI()*(N77+O77/1296000-INT(N77+O77/1296000))</f>
        <v>2.79754836740486</v>
      </c>
      <c r="X77" s="35" t="n">
        <f aca="false">W77*180/PI()</f>
        <v>160.287714436012</v>
      </c>
      <c r="Y77" s="36" t="n">
        <f aca="false">(18520*SIN(T77)+V77)/206264.8062</f>
        <v>0.0851314788687704</v>
      </c>
      <c r="Z77" s="36" t="n">
        <f aca="false">Y77*180/PI()</f>
        <v>4.8776744428877</v>
      </c>
      <c r="AA77" s="36" t="n">
        <f aca="false">COS(Y77)*COS(W77)</f>
        <v>-0.937988971702262</v>
      </c>
      <c r="AB77" s="36" t="n">
        <f aca="false">COS(Y77)*SIN(W77)</f>
        <v>0.336075603813484</v>
      </c>
      <c r="AC77" s="36" t="n">
        <f aca="false">SIN(Y77)</f>
        <v>0.0850286862554966</v>
      </c>
      <c r="AD77" s="36" t="n">
        <f aca="false">COS($A$10*(23.4393-46.815*L77/3600))*AB77-SIN($A$10*(23.4393-46.815*L77/3600))*AC77</f>
        <v>0.274531504945176</v>
      </c>
      <c r="AE77" s="36" t="n">
        <f aca="false">SIN($A$10*(23.4393-46.815*L77/3600))*AB77+COS($A$10*(23.4393-46.815*L77/3600))*AC77</f>
        <v>0.211681699155762</v>
      </c>
      <c r="AF77" s="36" t="n">
        <f aca="false">SQRT(1-AE77*AE77)</f>
        <v>0.977338660978133</v>
      </c>
      <c r="AG77" s="35" t="n">
        <f aca="false">ATAN(AE77/AF77)/$A$10</f>
        <v>12.2209223384551</v>
      </c>
      <c r="AH77" s="36" t="n">
        <f aca="false">IF(24*ATAN(AD77/(AA77+AF77))/PI()&gt;0,24*ATAN(AD77/(AA77+AF77))/PI(),24*ATAN(AD77/(AA77+AF77))/PI()+24)</f>
        <v>10.9124167873167</v>
      </c>
      <c r="AI77" s="63" t="n">
        <f aca="false">IF(M77-15*AH77&gt;0,M77-15*AH77,360+M77-15*AH77)</f>
        <v>25.8673499827977</v>
      </c>
      <c r="AJ77" s="32" t="n">
        <f aca="false">0.950724+0.051818*COS(P77)+0.009531*COS(2*R77-P77)+0.007843*COS(2*R77)+0.002824*COS(2*P77)+0.000857*COS(2*R77+P77)+0.000533*COS(2*R77-Q77)*(1-0.002495*(J77-2415020)/36525)+0.000401*COS(2*R77-Q77-P77)*(1-0.002495*(J77-2415020)/36525)+0.00032*COS(P77-Q77)*(1-0.002495*(J77-2415020)/36525)-0.000271*COS(R77)</f>
        <v>0.946365540554816</v>
      </c>
      <c r="AK77" s="36" t="n">
        <f aca="false">ASIN(COS($A$10*$B$5)*COS($A$10*AG77)*COS($A$10*AI77)+SIN($A$10*$B$5)*SIN($A$10*AG77))/$A$10</f>
        <v>46.6717998826545</v>
      </c>
      <c r="AL77" s="32" t="n">
        <f aca="false">ASIN((0.9983271+0.0016764*COS($A$10*2*$B$5))*COS($A$10*AK77)*SIN($A$10*AJ77))/$A$10</f>
        <v>0.648082743188793</v>
      </c>
      <c r="AM77" s="32" t="n">
        <f aca="false">AK77-AL77</f>
        <v>46.0237171394657</v>
      </c>
      <c r="AN77" s="35" t="n">
        <f aca="false"> MOD(280.4664567 + 360007.6982779*L77/10 + 0.03032028*L77^2/100 + L77^3/49931000,360)</f>
        <v>354.559385772038</v>
      </c>
      <c r="AO77" s="32" t="n">
        <f aca="false"> AN77 + (1.9146 - 0.004817*L77 - 0.000014*L77^2)*SIN(Q77)+ (0.019993 - 0.000101*L77)*SIN(2*Q77)+ 0.00029*SIN(3*Q77)</f>
        <v>356.383247875257</v>
      </c>
      <c r="AP77" s="32" t="n">
        <f aca="false">ACOS(COS(W77-$A$10*AO77)*COS(Y77))/$A$10</f>
        <v>163.200344059299</v>
      </c>
      <c r="AQ77" s="34" t="n">
        <f aca="false">180 - AP77 -0.1468*(1-0.0549*SIN(Q77))*SIN($A$10*AP77)/(1-0.0167*SIN($A$10*AO77))</f>
        <v>16.7594748363153</v>
      </c>
      <c r="AR77" s="64" t="n">
        <f aca="false">SIN($A$10*AI77)</f>
        <v>0.436289104203149</v>
      </c>
      <c r="AS77" s="64" t="n">
        <f aca="false">COS($A$10*AI77)*SIN($A$10*$B$5) - TAN($A$10*AG77)*COS($A$10*$B$5)</f>
        <v>0.550070488479352</v>
      </c>
      <c r="AT77" s="24" t="n">
        <f aca="false">IF(OR(AND(AR77*AS77&gt;0), AND(AR77&lt;0,AS77&gt;0)), MOD(ATAN2(AS77,AR77)/$A$10+360,360),  ATAN2(AS77,AR77)/$A$10)</f>
        <v>38.419737146625</v>
      </c>
      <c r="AU77" s="39" t="n">
        <f aca="false"> 385000.56 + (-20905355*COS(P77) - 3699111*COS(2*R77-P77) - 2955968*COS(2*R77) - 569925*COS(2*P77) + (1-0.002516*L77)*48888*COS(Q77) - 3149*COS(2*S77)  +246158*COS(2*R77-2*P77) -(1 - 0.002516*L77)*152138*COS(2*R77-Q77-P77) -170733*COS(2*R77+P77) -(1 - 0.002516*L77)*204586*COS(2*R77-Q77) -(1 - 0.002516*L77)*129620*COS(Q77-P77)  + 108743*COS(R77) +(1-0.002516*L77)*104755*COS(Q77+P77) +10321*COS(2*R77-2*S77) +79661*COS(P77-2*S77) -34782*COS(4*R77-P77) -23210*COS(3*P77)  -21636*COS(4*R77-2*P77) +(1 - 0.002516*L77)*24208*COS(2*R77+Q77-P77) +(1 - 0.002516*L77)*30824*COS(2*R77+Q77) -8379*COS(R77-P77) -(1 - 0.002516*L77)*16675*COS(R77+Q77)  -(1 - 0.002516*L77)*12831*COS(2*R77-Q77+P77) -10445*COS(2*R77+2*P77) -11650*COS(4*R77) +14403*COS(2*R77-3*P77) -(1-0.002516*L77)*7003*COS(Q77-2*P77)  + (1 - 0.002516*L77)*10056*COS(2*R77-Q77-2*P77) +6322*COS(R77+P77) -(1 - 0.002516*L77)*(1-0.002516*L77)*9884*COS(2*R77-2*Q77) +(1-0.002516*L77)*5751*COS(Q77+2*P77) - (1-0.002516*L77)^2*4950*COS(2*R77-2*Q77-P77)  +4130*COS(2*R77+P77-2*S77) -(1-0.002516*L77)*3958*COS(4*R77-Q77-P77) +3258*COS(3*R77-P77) +(1 - 0.002516*L77)*2616*COS(2*R77+Q77+P77) -(1 - 0.002516*L77)*1897*COS(4*R77-Q77-2*P77)  -(1-0.002516*L77)^2*2117*COS(2*Q77-P77) +(1-0.002516*L77)^2*2354*COS(2*R77+2*Q77-P77) -1423*COS(4*R77+P77) -1117*COS(4*P77) -(1-0.002516*L77)*1571*COS(4*R77-Q77)  -1739*COS(R77-2*P77) -4421*COS(2*P77-2*S77) +(1-0.002516*L77)^2*1165*COS(2*Q77+P77) +8752*COS(2*R77-P77-2*S77))/1000</f>
        <v>386298.257017935</v>
      </c>
      <c r="AV77" s="54" t="n">
        <f aca="false">ATAN(0.99664719*TAN($A$10*input!$E$2))</f>
        <v>0.871010436227447</v>
      </c>
      <c r="AW77" s="54" t="n">
        <f aca="false">COS(AV77)</f>
        <v>0.644053912545845</v>
      </c>
      <c r="AX77" s="54" t="n">
        <f aca="false">0.99664719*SIN(AV77)</f>
        <v>0.762415269897027</v>
      </c>
      <c r="AY77" s="54" t="n">
        <f aca="false">6378.14/AU77</f>
        <v>0.0165109209894878</v>
      </c>
      <c r="AZ77" s="55" t="n">
        <f aca="false">M77-15*AH77</f>
        <v>25.8673499827977</v>
      </c>
      <c r="BA77" s="56" t="n">
        <f aca="false">COS($A$10*AG77)*SIN($A$10*AZ77)</f>
        <v>0.426402208901254</v>
      </c>
      <c r="BB77" s="56" t="n">
        <f aca="false">COS($A$10*AG77)*COS($A$10*AZ77)-AW77*AY77</f>
        <v>0.868781800093499</v>
      </c>
      <c r="BC77" s="56" t="n">
        <f aca="false">SIN($A$10*AG77)-AX77*AY77</f>
        <v>0.199093520873313</v>
      </c>
      <c r="BD77" s="57" t="n">
        <f aca="false">SQRT(BA77^2+BB77^2+BC77^2)</f>
        <v>0.988048020079642</v>
      </c>
      <c r="BE77" s="58" t="n">
        <f aca="false">AU77*BD77</f>
        <v>381681.228006788</v>
      </c>
    </row>
    <row r="78" customFormat="false" ht="15" hidden="false" customHeight="false" outlineLevel="0" collapsed="false">
      <c r="D78" s="41" t="n">
        <f aca="false">K78-INT(275*E78/9)+IF($A$8="common year",2,1)*INT((E78+9)/12)+30</f>
        <v>18</v>
      </c>
      <c r="E78" s="41" t="n">
        <f aca="false">IF(K78&lt;32,1,INT(9*(IF($A$8="common year",2,1)+K78)/275+0.98))</f>
        <v>3</v>
      </c>
      <c r="F78" s="42" t="n">
        <f aca="false">AM78</f>
        <v>44.2268741147005</v>
      </c>
      <c r="G78" s="60" t="n">
        <f aca="false">F78+1.02/(TAN($A$10*(F78+10.3/(F78+5.11)))*60)</f>
        <v>44.24421235349</v>
      </c>
      <c r="H78" s="43" t="n">
        <f aca="false">100*(1+COS($A$10*AQ78))/2</f>
        <v>99.7416388085732</v>
      </c>
      <c r="I78" s="43" t="n">
        <f aca="false">IF(AI78&gt;180,AT78-180,AT78+180)</f>
        <v>200.834136329452</v>
      </c>
      <c r="J78" s="61" t="n">
        <f aca="false">$J$2+K77</f>
        <v>2459656.5</v>
      </c>
      <c r="K78" s="21" t="n">
        <v>77</v>
      </c>
      <c r="L78" s="62" t="n">
        <f aca="false">(J78-2451545)/36525</f>
        <v>0.22208076659822</v>
      </c>
      <c r="M78" s="63" t="n">
        <f aca="false">MOD(280.46061837+360.98564736629*(J78-2451545)+0.000387933*L78^2-L78^3/38710000+$B$7,360)</f>
        <v>190.539249163587</v>
      </c>
      <c r="N78" s="30" t="n">
        <f aca="false">0.606433+1336.855225*L78 - INT(0.606433+1336.855225*L78)</f>
        <v>0.496266198836395</v>
      </c>
      <c r="O78" s="35" t="n">
        <f aca="false">22640*SIN(P78)-4586*SIN(P78-2*R78)+2370*SIN(2*R78)+769*SIN(2*P78)-668*SIN(Q78)-412*SIN(2*S78)-212*SIN(2*P78-2*R78)-206*SIN(P78+Q78-2*R78)+192*SIN(P78+2*R78)-165*SIN(Q78-2*R78)-125*SIN(R78)-110*SIN(P78+Q78)+148*SIN(P78-Q78)-55*SIN(2*S78-2*R78)</f>
        <v>-18343.1312259954</v>
      </c>
      <c r="P78" s="32" t="n">
        <f aca="false">2*PI()*(0.374897+1325.55241*L78 - INT(0.374897+1325.55241*L78))</f>
        <v>4.74124374813052</v>
      </c>
      <c r="Q78" s="36" t="n">
        <f aca="false">2*PI()*(0.993133+99.997361*L78 - INT(0.993133+99.997361*L78))</f>
        <v>1.26055518466145</v>
      </c>
      <c r="R78" s="36" t="n">
        <f aca="false">2*PI()*(0.827361+1236.853086*L78 - INT(0.827361+1236.853086*L78))</f>
        <v>3.19589513447252</v>
      </c>
      <c r="S78" s="36" t="n">
        <f aca="false">2*PI()*(0.259086+1342.227825*L78 - INT(0.259086+1342.227825*L78))</f>
        <v>2.14929124296518</v>
      </c>
      <c r="T78" s="36" t="n">
        <f aca="false">S78+(O78+412*SIN(2*S78)+541*SIN(Q78))/206264.8062</f>
        <v>2.06103001786278</v>
      </c>
      <c r="U78" s="36" t="n">
        <f aca="false">S78-2*R78</f>
        <v>-4.24249902597985</v>
      </c>
      <c r="V78" s="34" t="n">
        <f aca="false">-526*SIN(U78)+44*SIN(P78+U78)-31*SIN(-P78+U78)-23*SIN(Q78+U78)+11*SIN(-Q78+U78)-25*SIN(-2*P78+S78)+21*SIN(-P78+S78)</f>
        <v>-412.602573594609</v>
      </c>
      <c r="W78" s="36" t="n">
        <f aca="false">2*PI()*(N78+O78/1296000-INT(N78+O78/1296000))</f>
        <v>3.0292024792512</v>
      </c>
      <c r="X78" s="35" t="n">
        <f aca="false">W78*180/PI()</f>
        <v>173.560517351659</v>
      </c>
      <c r="Y78" s="36" t="n">
        <f aca="false">(18520*SIN(T78)+V78)/206264.8062</f>
        <v>0.0772122252251484</v>
      </c>
      <c r="Z78" s="36" t="n">
        <f aca="false">Y78*180/PI()</f>
        <v>4.42393463221455</v>
      </c>
      <c r="AA78" s="36" t="n">
        <f aca="false">COS(Y78)*COS(W78)</f>
        <v>-0.990730283813267</v>
      </c>
      <c r="AB78" s="36" t="n">
        <f aca="false">COS(Y78)*SIN(W78)</f>
        <v>0.111819564463308</v>
      </c>
      <c r="AC78" s="36" t="n">
        <f aca="false">SIN(Y78)</f>
        <v>0.0771355283803748</v>
      </c>
      <c r="AD78" s="36" t="n">
        <f aca="false">COS($A$10*(23.4393-46.815*L78/3600))*AB78-SIN($A$10*(23.4393-46.815*L78/3600))*AC78</f>
        <v>0.0719154846379461</v>
      </c>
      <c r="AE78" s="36" t="n">
        <f aca="false">SIN($A$10*(23.4393-46.815*L78/3600))*AB78+COS($A$10*(23.4393-46.815*L78/3600))*AC78</f>
        <v>0.11524611839265</v>
      </c>
      <c r="AF78" s="36" t="n">
        <f aca="false">SQRT(1-AE78*AE78)</f>
        <v>0.993336968100668</v>
      </c>
      <c r="AG78" s="35" t="n">
        <f aca="false">ATAN(AE78/AF78)/$A$10</f>
        <v>6.61782097930022</v>
      </c>
      <c r="AH78" s="36" t="n">
        <f aca="false">IF(24*ATAN(AD78/(AA78+AF78))/PI()&gt;0,24*ATAN(AD78/(AA78+AF78))/PI(),24*ATAN(AD78/(AA78+AF78))/PI()+24)</f>
        <v>11.7232183419916</v>
      </c>
      <c r="AI78" s="63" t="n">
        <f aca="false">IF(M78-15*AH78&gt;0,M78-15*AH78,360+M78-15*AH78)</f>
        <v>14.6909740337125</v>
      </c>
      <c r="AJ78" s="32" t="n">
        <f aca="false">0.950724+0.051818*COS(P78)+0.009531*COS(2*R78-P78)+0.007843*COS(2*R78)+0.002824*COS(2*P78)+0.000857*COS(2*R78+P78)+0.000533*COS(2*R78-Q78)*(1-0.002495*(J78-2415020)/36525)+0.000401*COS(2*R78-Q78-P78)*(1-0.002495*(J78-2415020)/36525)+0.00032*COS(P78-Q78)*(1-0.002495*(J78-2415020)/36525)-0.000271*COS(R78)</f>
        <v>0.957110235461671</v>
      </c>
      <c r="AK78" s="36" t="n">
        <f aca="false">ASIN(COS($A$10*$B$5)*COS($A$10*AG78)*COS($A$10*AI78)+SIN($A$10*$B$5)*SIN($A$10*AG78))/$A$10</f>
        <v>44.9034456158398</v>
      </c>
      <c r="AL78" s="32" t="n">
        <f aca="false">ASIN((0.9983271+0.0016764*COS($A$10*2*$B$5))*COS($A$10*AK78)*SIN($A$10*AJ78))/$A$10</f>
        <v>0.676571501139345</v>
      </c>
      <c r="AM78" s="32" t="n">
        <f aca="false">AK78-AL78</f>
        <v>44.2268741147005</v>
      </c>
      <c r="AN78" s="35" t="n">
        <f aca="false"> MOD(280.4664567 + 360007.6982779*L78/10 + 0.03032028*L78^2/100 + L78^3/49931000,360)</f>
        <v>355.545033135828</v>
      </c>
      <c r="AO78" s="32" t="n">
        <f aca="false"> AN78 + (1.9146 - 0.004817*L78 - 0.000014*L78^2)*SIN(Q78)+ (0.019993 - 0.000101*L78)*SIN(2*Q78)+ 0.00029*SIN(3*Q78)</f>
        <v>357.378648980051</v>
      </c>
      <c r="AP78" s="32" t="n">
        <f aca="false">ACOS(COS(W78-$A$10*AO78)*COS(Y78))/$A$10</f>
        <v>174.158738458885</v>
      </c>
      <c r="AQ78" s="34" t="n">
        <f aca="false">180 - AP78 -0.1468*(1-0.0549*SIN(Q78))*SIN($A$10*AP78)/(1-0.0167*SIN($A$10*AO78))</f>
        <v>5.82711317174269</v>
      </c>
      <c r="AR78" s="64" t="n">
        <f aca="false">SIN($A$10*AI78)</f>
        <v>0.253605565010375</v>
      </c>
      <c r="AS78" s="64" t="n">
        <f aca="false">COS($A$10*AI78)*SIN($A$10*$B$5) - TAN($A$10*AG78)*COS($A$10*$B$5)</f>
        <v>0.666425023530535</v>
      </c>
      <c r="AT78" s="24" t="n">
        <f aca="false">IF(OR(AND(AR78*AS78&gt;0), AND(AR78&lt;0,AS78&gt;0)), MOD(ATAN2(AS78,AR78)/$A$10+360,360),  ATAN2(AS78,AR78)/$A$10)</f>
        <v>20.8341363294516</v>
      </c>
      <c r="AU78" s="39" t="n">
        <f aca="false"> 385000.56 + (-20905355*COS(P78) - 3699111*COS(2*R78-P78) - 2955968*COS(2*R78) - 569925*COS(2*P78) + (1-0.002516*L78)*48888*COS(Q78) - 3149*COS(2*S78)  +246158*COS(2*R78-2*P78) -(1 - 0.002516*L78)*152138*COS(2*R78-Q78-P78) -170733*COS(2*R78+P78) -(1 - 0.002516*L78)*204586*COS(2*R78-Q78) -(1 - 0.002516*L78)*129620*COS(Q78-P78)  + 108743*COS(R78) +(1-0.002516*L78)*104755*COS(Q78+P78) +10321*COS(2*R78-2*S78) +79661*COS(P78-2*S78) -34782*COS(4*R78-P78) -23210*COS(3*P78)  -21636*COS(4*R78-2*P78) +(1 - 0.002516*L78)*24208*COS(2*R78+Q78-P78) +(1 - 0.002516*L78)*30824*COS(2*R78+Q78) -8379*COS(R78-P78) -(1 - 0.002516*L78)*16675*COS(R78+Q78)  -(1 - 0.002516*L78)*12831*COS(2*R78-Q78+P78) -10445*COS(2*R78+2*P78) -11650*COS(4*R78) +14403*COS(2*R78-3*P78) -(1-0.002516*L78)*7003*COS(Q78-2*P78)  + (1 - 0.002516*L78)*10056*COS(2*R78-Q78-2*P78) +6322*COS(R78+P78) -(1 - 0.002516*L78)*(1-0.002516*L78)*9884*COS(2*R78-2*Q78) +(1-0.002516*L78)*5751*COS(Q78+2*P78) - (1-0.002516*L78)^2*4950*COS(2*R78-2*Q78-P78)  +4130*COS(2*R78+P78-2*S78) -(1-0.002516*L78)*3958*COS(4*R78-Q78-P78) +3258*COS(3*R78-P78) +(1 - 0.002516*L78)*2616*COS(2*R78+Q78+P78) -(1 - 0.002516*L78)*1897*COS(4*R78-Q78-2*P78)  -(1-0.002516*L78)^2*2117*COS(2*Q78-P78) +(1-0.002516*L78)^2*2354*COS(2*R78+2*Q78-P78) -1423*COS(4*R78+P78) -1117*COS(4*P78) -(1-0.002516*L78)*1571*COS(4*R78-Q78)  -1739*COS(R78-2*P78) -4421*COS(2*P78-2*S78) +(1-0.002516*L78)^2*1165*COS(2*Q78+P78) +8752*COS(2*R78-P78-2*S78))/1000</f>
        <v>382046.108354724</v>
      </c>
      <c r="AV78" s="54" t="n">
        <f aca="false">ATAN(0.99664719*TAN($A$10*input!$E$2))</f>
        <v>0.871010436227447</v>
      </c>
      <c r="AW78" s="54" t="n">
        <f aca="false">COS(AV78)</f>
        <v>0.644053912545845</v>
      </c>
      <c r="AX78" s="54" t="n">
        <f aca="false">0.99664719*SIN(AV78)</f>
        <v>0.762415269897027</v>
      </c>
      <c r="AY78" s="54" t="n">
        <f aca="false">6378.14/AU78</f>
        <v>0.0166946864802978</v>
      </c>
      <c r="AZ78" s="55" t="n">
        <f aca="false">M78-15*AH78</f>
        <v>14.6909740337125</v>
      </c>
      <c r="BA78" s="56" t="n">
        <f aca="false">COS($A$10*AG78)*SIN($A$10*AZ78)</f>
        <v>0.251915783040863</v>
      </c>
      <c r="BB78" s="56" t="n">
        <f aca="false">COS($A$10*AG78)*COS($A$10*AZ78)-AW78*AY78</f>
        <v>0.950110235666273</v>
      </c>
      <c r="BC78" s="56" t="n">
        <f aca="false">SIN($A$10*AG78)-AX78*AY78</f>
        <v>0.102517834493928</v>
      </c>
      <c r="BD78" s="57" t="n">
        <f aca="false">SQRT(BA78^2+BB78^2+BC78^2)</f>
        <v>0.988271687367515</v>
      </c>
      <c r="BE78" s="58" t="n">
        <f aca="false">AU78*BD78</f>
        <v>377565.352155916</v>
      </c>
    </row>
    <row r="79" customFormat="false" ht="15" hidden="false" customHeight="false" outlineLevel="0" collapsed="false">
      <c r="D79" s="41" t="n">
        <f aca="false">K79-INT(275*E79/9)+IF($A$8="common year",2,1)*INT((E79+9)/12)+30</f>
        <v>19</v>
      </c>
      <c r="E79" s="41" t="n">
        <f aca="false">IF(K79&lt;32,1,INT(9*(IF($A$8="common year",2,1)+K79)/275+0.98))</f>
        <v>3</v>
      </c>
      <c r="F79" s="42" t="n">
        <f aca="false">AM79</f>
        <v>39.7657890896337</v>
      </c>
      <c r="G79" s="60" t="n">
        <f aca="false">F79+1.02/(TAN($A$10*(F79+10.3/(F79+5.11)))*60)</f>
        <v>39.7860522678858</v>
      </c>
      <c r="H79" s="43" t="n">
        <f aca="false">100*(1+COS($A$10*AQ79))/2</f>
        <v>99.3200355552018</v>
      </c>
      <c r="I79" s="43" t="n">
        <f aca="false">IF(AI79&gt;180,AT79-180,AT79+180)</f>
        <v>184.64942585219</v>
      </c>
      <c r="J79" s="61" t="n">
        <f aca="false">$J$2+K78</f>
        <v>2459657.5</v>
      </c>
      <c r="K79" s="21" t="n">
        <v>78</v>
      </c>
      <c r="L79" s="62" t="n">
        <f aca="false">(J79-2451545)/36525</f>
        <v>0.222108145106092</v>
      </c>
      <c r="M79" s="63" t="n">
        <f aca="false">MOD(280.46061837+360.98564736629*(J79-2451545)+0.000387933*L79^2-L79^3/38710000+$B$7,360)</f>
        <v>191.524896535091</v>
      </c>
      <c r="N79" s="30" t="n">
        <f aca="false">0.606433+1336.855225*L79 - INT(0.606433+1336.855225*L79)</f>
        <v>0.5328673001369</v>
      </c>
      <c r="O79" s="35" t="n">
        <f aca="false">22640*SIN(P79)-4586*SIN(P79-2*R79)+2370*SIN(2*R79)+769*SIN(2*P79)-668*SIN(Q79)-412*SIN(2*S79)-212*SIN(2*P79-2*R79)-206*SIN(P79+Q79-2*R79)+192*SIN(P79+2*R79)-165*SIN(Q79-2*R79)-125*SIN(R79)-110*SIN(P79+Q79)+148*SIN(P79-Q79)-55*SIN(2*S79-2*R79)</f>
        <v>-17017.1653327109</v>
      </c>
      <c r="P79" s="32" t="n">
        <f aca="false">2*PI()*(0.374897+1325.55241*L79 - INT(0.374897+1325.55241*L79))</f>
        <v>4.96927089190633</v>
      </c>
      <c r="Q79" s="36" t="n">
        <f aca="false">2*PI()*(0.993133+99.997361*L79 - INT(0.993133+99.997361*L79))</f>
        <v>1.27775715452846</v>
      </c>
      <c r="R79" s="36" t="n">
        <f aca="false">2*PI()*(0.827361+1236.853086*L79 - INT(0.827361+1236.853086*L79))</f>
        <v>3.40866384459154</v>
      </c>
      <c r="S79" s="36" t="n">
        <f aca="false">2*PI()*(0.259086+1342.227825*L79 - INT(0.259086+1342.227825*L79))</f>
        <v>2.38018696230618</v>
      </c>
      <c r="T79" s="36" t="n">
        <f aca="false">S79+(O79+412*SIN(2*S79)+541*SIN(Q79))/206264.8062</f>
        <v>2.29820131470026</v>
      </c>
      <c r="U79" s="36" t="n">
        <f aca="false">S79-2*R79</f>
        <v>-4.4371407268769</v>
      </c>
      <c r="V79" s="34" t="n">
        <f aca="false">-526*SIN(U79)+44*SIN(P79+U79)-31*SIN(-P79+U79)-23*SIN(Q79+U79)+11*SIN(-Q79+U79)-25*SIN(-2*P79+S79)+21*SIN(-P79+S79)</f>
        <v>-464.901473537675</v>
      </c>
      <c r="W79" s="36" t="n">
        <f aca="false">2*PI()*(N79+O79/1296000-INT(N79+O79/1296000))</f>
        <v>3.26560244522661</v>
      </c>
      <c r="X79" s="35" t="n">
        <f aca="false">W79*180/PI()</f>
        <v>187.105237679086</v>
      </c>
      <c r="Y79" s="36" t="n">
        <f aca="false">(18520*SIN(T79)+V79)/206264.8062</f>
        <v>0.0648085909797271</v>
      </c>
      <c r="Z79" s="36" t="n">
        <f aca="false">Y79*180/PI()</f>
        <v>3.71325873932798</v>
      </c>
      <c r="AA79" s="36" t="n">
        <f aca="false">COS(Y79)*COS(W79)</f>
        <v>-0.990237414572475</v>
      </c>
      <c r="AB79" s="36" t="n">
        <f aca="false">COS(Y79)*SIN(W79)</f>
        <v>-0.123432517812683</v>
      </c>
      <c r="AC79" s="36" t="n">
        <f aca="false">SIN(Y79)</f>
        <v>0.0647632328350083</v>
      </c>
      <c r="AD79" s="36" t="n">
        <f aca="false">COS($A$10*(23.4393-46.815*L79/3600))*AB79-SIN($A$10*(23.4393-46.815*L79/3600))*AC79</f>
        <v>-0.139007936696795</v>
      </c>
      <c r="AE79" s="36" t="n">
        <f aca="false">SIN($A$10*(23.4393-46.815*L79/3600))*AB79+COS($A$10*(23.4393-46.815*L79/3600))*AC79</f>
        <v>0.0103274544840254</v>
      </c>
      <c r="AF79" s="36" t="n">
        <f aca="false">SQRT(1-AE79*AE79)</f>
        <v>0.999946670419918</v>
      </c>
      <c r="AG79" s="35" t="n">
        <f aca="false">ATAN(AE79/AF79)/$A$10</f>
        <v>0.591730073990965</v>
      </c>
      <c r="AH79" s="36" t="n">
        <f aca="false">IF(24*ATAN(AD79/(AA79+AF79))/PI()&gt;0,24*ATAN(AD79/(AA79+AF79))/PI(),24*ATAN(AD79/(AA79+AF79))/PI()+24)</f>
        <v>12.5327248553777</v>
      </c>
      <c r="AI79" s="63" t="n">
        <f aca="false">IF(M79-15*AH79&gt;0,M79-15*AH79,360+M79-15*AH79)</f>
        <v>3.53402370442566</v>
      </c>
      <c r="AJ79" s="32" t="n">
        <f aca="false">0.950724+0.051818*COS(P79)+0.009531*COS(2*R79-P79)+0.007843*COS(2*R79)+0.002824*COS(2*P79)+0.000857*COS(2*R79+P79)+0.000533*COS(2*R79-Q79)*(1-0.002495*(J79-2415020)/36525)+0.000401*COS(2*R79-Q79-P79)*(1-0.002495*(J79-2415020)/36525)+0.00032*COS(P79-Q79)*(1-0.002495*(J79-2415020)/36525)-0.000271*COS(R79)</f>
        <v>0.966897847881817</v>
      </c>
      <c r="AK79" s="36" t="n">
        <f aca="false">ASIN(COS($A$10*$B$5)*COS($A$10*AG79)*COS($A$10*AI79)+SIN($A$10*$B$5)*SIN($A$10*AG79))/$A$10</f>
        <v>40.4995699116848</v>
      </c>
      <c r="AL79" s="32" t="n">
        <f aca="false">ASIN((0.9983271+0.0016764*COS($A$10*2*$B$5))*COS($A$10*AK79)*SIN($A$10*AJ79))/$A$10</f>
        <v>0.73378082205114</v>
      </c>
      <c r="AM79" s="32" t="n">
        <f aca="false">AK79-AL79</f>
        <v>39.7657890896337</v>
      </c>
      <c r="AN79" s="35" t="n">
        <f aca="false"> MOD(280.4664567 + 360007.6982779*L79/10 + 0.03032028*L79^2/100 + L79^3/49931000,360)</f>
        <v>356.53068049962</v>
      </c>
      <c r="AO79" s="32" t="n">
        <f aca="false"> AN79 + (1.9146 - 0.004817*L79 - 0.000014*L79^2)*SIN(Q79)+ (0.019993 - 0.000101*L79)*SIN(2*Q79)+ 0.00029*SIN(3*Q79)</f>
        <v>358.373497619265</v>
      </c>
      <c r="AP79" s="32" t="n">
        <f aca="false">ACOS(COS(W79-$A$10*AO79)*COS(Y79))/$A$10</f>
        <v>170.517139934178</v>
      </c>
      <c r="AQ79" s="34" t="n">
        <f aca="false">180 - AP79 -0.1468*(1-0.0549*SIN(Q79))*SIN($A$10*AP79)/(1-0.0167*SIN($A$10*AO79))</f>
        <v>9.45995643790975</v>
      </c>
      <c r="AR79" s="64" t="n">
        <f aca="false">SIN($A$10*AI79)</f>
        <v>0.0616412467976659</v>
      </c>
      <c r="AS79" s="64" t="n">
        <f aca="false">COS($A$10*AI79)*SIN($A$10*$B$5) - TAN($A$10*AG79)*COS($A$10*$B$5)</f>
        <v>0.757948996393417</v>
      </c>
      <c r="AT79" s="24" t="n">
        <f aca="false">IF(OR(AND(AR79*AS79&gt;0), AND(AR79&lt;0,AS79&gt;0)), MOD(ATAN2(AS79,AR79)/$A$10+360,360),  ATAN2(AS79,AR79)/$A$10)</f>
        <v>4.6494258521904</v>
      </c>
      <c r="AU79" s="39" t="n">
        <f aca="false"> 385000.56 + (-20905355*COS(P79) - 3699111*COS(2*R79-P79) - 2955968*COS(2*R79) - 569925*COS(2*P79) + (1-0.002516*L79)*48888*COS(Q79) - 3149*COS(2*S79)  +246158*COS(2*R79-2*P79) -(1 - 0.002516*L79)*152138*COS(2*R79-Q79-P79) -170733*COS(2*R79+P79) -(1 - 0.002516*L79)*204586*COS(2*R79-Q79) -(1 - 0.002516*L79)*129620*COS(Q79-P79)  + 108743*COS(R79) +(1-0.002516*L79)*104755*COS(Q79+P79) +10321*COS(2*R79-2*S79) +79661*COS(P79-2*S79) -34782*COS(4*R79-P79) -23210*COS(3*P79)  -21636*COS(4*R79-2*P79) +(1 - 0.002516*L79)*24208*COS(2*R79+Q79-P79) +(1 - 0.002516*L79)*30824*COS(2*R79+Q79) -8379*COS(R79-P79) -(1 - 0.002516*L79)*16675*COS(R79+Q79)  -(1 - 0.002516*L79)*12831*COS(2*R79-Q79+P79) -10445*COS(2*R79+2*P79) -11650*COS(4*R79) +14403*COS(2*R79-3*P79) -(1-0.002516*L79)*7003*COS(Q79-2*P79)  + (1 - 0.002516*L79)*10056*COS(2*R79-Q79-2*P79) +6322*COS(R79+P79) -(1 - 0.002516*L79)*(1-0.002516*L79)*9884*COS(2*R79-2*Q79) +(1-0.002516*L79)*5751*COS(Q79+2*P79) - (1-0.002516*L79)^2*4950*COS(2*R79-2*Q79-P79)  +4130*COS(2*R79+P79-2*S79) -(1-0.002516*L79)*3958*COS(4*R79-Q79-P79) +3258*COS(3*R79-P79) +(1 - 0.002516*L79)*2616*COS(2*R79+Q79+P79) -(1 - 0.002516*L79)*1897*COS(4*R79-Q79-2*P79)  -(1-0.002516*L79)^2*2117*COS(2*Q79-P79) +(1-0.002516*L79)^2*2354*COS(2*R79+2*Q79-P79) -1423*COS(4*R79+P79) -1117*COS(4*P79) -(1-0.002516*L79)*1571*COS(4*R79-Q79)  -1739*COS(R79-2*P79) -4421*COS(2*P79-2*S79) +(1-0.002516*L79)^2*1165*COS(2*Q79+P79) +8752*COS(2*R79-P79-2*S79))/1000</f>
        <v>378228.767742256</v>
      </c>
      <c r="AV79" s="54" t="n">
        <f aca="false">ATAN(0.99664719*TAN($A$10*input!$E$2))</f>
        <v>0.871010436227447</v>
      </c>
      <c r="AW79" s="54" t="n">
        <f aca="false">COS(AV79)</f>
        <v>0.644053912545845</v>
      </c>
      <c r="AX79" s="54" t="n">
        <f aca="false">0.99664719*SIN(AV79)</f>
        <v>0.762415269897027</v>
      </c>
      <c r="AY79" s="54" t="n">
        <f aca="false">6378.14/AU79</f>
        <v>0.0168631805509474</v>
      </c>
      <c r="AZ79" s="55" t="n">
        <f aca="false">M79-15*AH79</f>
        <v>3.53402370442566</v>
      </c>
      <c r="BA79" s="56" t="n">
        <f aca="false">COS($A$10*AG79)*SIN($A$10*AZ79)</f>
        <v>0.0616379594958584</v>
      </c>
      <c r="BB79" s="56" t="n">
        <f aca="false">COS($A$10*AG79)*COS($A$10*AZ79)-AW79*AY79</f>
        <v>0.987184344669989</v>
      </c>
      <c r="BC79" s="56" t="n">
        <f aca="false">SIN($A$10*AG79)-AX79*AY79</f>
        <v>-0.00252929186704748</v>
      </c>
      <c r="BD79" s="57" t="n">
        <f aca="false">SQRT(BA79^2+BB79^2+BC79^2)</f>
        <v>0.989109986669671</v>
      </c>
      <c r="BE79" s="58" t="n">
        <f aca="false">AU79*BD79</f>
        <v>374109.851419629</v>
      </c>
    </row>
    <row r="80" customFormat="false" ht="15" hidden="false" customHeight="false" outlineLevel="0" collapsed="false">
      <c r="D80" s="41" t="n">
        <f aca="false">K80-INT(275*E80/9)+IF($A$8="common year",2,1)*INT((E80+9)/12)+30</f>
        <v>20</v>
      </c>
      <c r="E80" s="41" t="n">
        <f aca="false">IF(K80&lt;32,1,INT(9*(IF($A$8="common year",2,1)+K80)/275+0.98))</f>
        <v>3</v>
      </c>
      <c r="F80" s="42" t="n">
        <f aca="false">AM80</f>
        <v>33.2057031372656</v>
      </c>
      <c r="G80" s="60" t="n">
        <f aca="false">F80+1.02/(TAN($A$10*(F80+10.3/(F80+5.11)))*60)</f>
        <v>33.2314121667331</v>
      </c>
      <c r="H80" s="43" t="n">
        <f aca="false">100*(1+COS($A$10*AQ80))/2</f>
        <v>96.480594455324</v>
      </c>
      <c r="I80" s="43" t="n">
        <f aca="false">IF(AI80&gt;180,AT80-180,AT80+180)</f>
        <v>170.597073405843</v>
      </c>
      <c r="J80" s="61" t="n">
        <f aca="false">$J$2+K79</f>
        <v>2459658.5</v>
      </c>
      <c r="K80" s="21" t="n">
        <v>79</v>
      </c>
      <c r="L80" s="62" t="n">
        <f aca="false">(J80-2451545)/36525</f>
        <v>0.222135523613963</v>
      </c>
      <c r="M80" s="63" t="n">
        <f aca="false">MOD(280.46061837+360.98564736629*(J80-2451545)+0.000387933*L80^2-L80^3/38710000+$B$7,360)</f>
        <v>192.51054390613</v>
      </c>
      <c r="N80" s="30" t="n">
        <f aca="false">0.606433+1336.855225*L80 - INT(0.606433+1336.855225*L80)</f>
        <v>0.569468401437348</v>
      </c>
      <c r="O80" s="35" t="n">
        <f aca="false">22640*SIN(P80)-4586*SIN(P80-2*R80)+2370*SIN(2*R80)+769*SIN(2*P80)-668*SIN(Q80)-412*SIN(2*S80)-212*SIN(2*P80-2*R80)-206*SIN(P80+Q80-2*R80)+192*SIN(P80+2*R80)-165*SIN(Q80-2*R80)-125*SIN(R80)-110*SIN(P80+Q80)+148*SIN(P80-Q80)-55*SIN(2*S80-2*R80)</f>
        <v>-14881.004221058</v>
      </c>
      <c r="P80" s="32" t="n">
        <f aca="false">2*PI()*(0.374897+1325.55241*L80 - INT(0.374897+1325.55241*L80))</f>
        <v>5.19729803568215</v>
      </c>
      <c r="Q80" s="36" t="n">
        <f aca="false">2*PI()*(0.993133+99.997361*L80 - INT(0.993133+99.997361*L80))</f>
        <v>1.29495912439544</v>
      </c>
      <c r="R80" s="36" t="n">
        <f aca="false">2*PI()*(0.827361+1236.853086*L80 - INT(0.827361+1236.853086*L80))</f>
        <v>3.62143255471056</v>
      </c>
      <c r="S80" s="36" t="n">
        <f aca="false">2*PI()*(0.259086+1342.227825*L80 - INT(0.259086+1342.227825*L80))</f>
        <v>2.61108268164719</v>
      </c>
      <c r="T80" s="36" t="n">
        <f aca="false">S80+(O80+412*SIN(2*S80)+541*SIN(Q80))/206264.8062</f>
        <v>2.5397177632317</v>
      </c>
      <c r="U80" s="36" t="n">
        <f aca="false">S80-2*R80</f>
        <v>-4.63178242777394</v>
      </c>
      <c r="V80" s="34" t="n">
        <f aca="false">-526*SIN(U80)+44*SIN(P80+U80)-31*SIN(-P80+U80)-23*SIN(Q80+U80)+11*SIN(-Q80+U80)-25*SIN(-2*P80+S80)+21*SIN(-P80+S80)</f>
        <v>-499.667398718471</v>
      </c>
      <c r="W80" s="36" t="n">
        <f aca="false">2*PI()*(N80+O80/1296000-INT(N80+O80/1296000))</f>
        <v>3.50593034846401</v>
      </c>
      <c r="X80" s="35" t="n">
        <f aca="false">W80*180/PI()</f>
        <v>200.875012233818</v>
      </c>
      <c r="Y80" s="36" t="n">
        <f aca="false">(18520*SIN(T80)+V80)/206264.8062</f>
        <v>0.0484142258656</v>
      </c>
      <c r="Z80" s="36" t="n">
        <f aca="false">Y80*180/PI()</f>
        <v>2.77393081049199</v>
      </c>
      <c r="AA80" s="36" t="n">
        <f aca="false">COS(Y80)*COS(W80)</f>
        <v>-0.933265138922751</v>
      </c>
      <c r="AB80" s="36" t="n">
        <f aca="false">COS(Y80)*SIN(W80)</f>
        <v>-0.355913014626312</v>
      </c>
      <c r="AC80" s="36" t="n">
        <f aca="false">SIN(Y80)</f>
        <v>0.0483953147640214</v>
      </c>
      <c r="AD80" s="36" t="n">
        <f aca="false">COS($A$10*(23.4393-46.815*L80/3600))*AB80-SIN($A$10*(23.4393-46.815*L80/3600))*AC80</f>
        <v>-0.345799240874515</v>
      </c>
      <c r="AE80" s="36" t="n">
        <f aca="false">SIN($A$10*(23.4393-46.815*L80/3600))*AB80+COS($A$10*(23.4393-46.815*L80/3600))*AC80</f>
        <v>-0.0971548531063012</v>
      </c>
      <c r="AF80" s="36" t="n">
        <f aca="false">SQRT(1-AE80*AE80)</f>
        <v>0.995269277390744</v>
      </c>
      <c r="AG80" s="35" t="n">
        <f aca="false">ATAN(AE80/AF80)/$A$10</f>
        <v>-5.57535764159403</v>
      </c>
      <c r="AH80" s="36" t="n">
        <f aca="false">IF(24*ATAN(AD80/(AA80+AF80))/PI()&gt;0,24*ATAN(AD80/(AA80+AF80))/PI(),24*ATAN(AD80/(AA80+AF80))/PI()+24)</f>
        <v>13.3553993862318</v>
      </c>
      <c r="AI80" s="63" t="n">
        <f aca="false">IF(M80-15*AH80&gt;0,M80-15*AH80,360+M80-15*AH80)</f>
        <v>352.179553112653</v>
      </c>
      <c r="AJ80" s="32" t="n">
        <f aca="false">0.950724+0.051818*COS(P80)+0.009531*COS(2*R80-P80)+0.007843*COS(2*R80)+0.002824*COS(2*P80)+0.000857*COS(2*R80+P80)+0.000533*COS(2*R80-Q80)*(1-0.002495*(J80-2415020)/36525)+0.000401*COS(2*R80-Q80-P80)*(1-0.002495*(J80-2415020)/36525)+0.00032*COS(P80-Q80)*(1-0.002495*(J80-2415020)/36525)-0.000271*COS(R80)</f>
        <v>0.975077847846069</v>
      </c>
      <c r="AK80" s="36" t="n">
        <f aca="false">ASIN(COS($A$10*$B$5)*COS($A$10*AG80)*COS($A$10*AI80)+SIN($A$10*$B$5)*SIN($A$10*AG80))/$A$10</f>
        <v>34.0123619354266</v>
      </c>
      <c r="AL80" s="32" t="n">
        <f aca="false">ASIN((0.9983271+0.0016764*COS($A$10*2*$B$5))*COS($A$10*AK80)*SIN($A$10*AJ80))/$A$10</f>
        <v>0.80665879816105</v>
      </c>
      <c r="AM80" s="32" t="n">
        <f aca="false">AK80-AL80</f>
        <v>33.2057031372656</v>
      </c>
      <c r="AN80" s="35" t="n">
        <f aca="false"> MOD(280.4664567 + 360007.6982779*L80/10 + 0.03032028*L80^2/100 + L80^3/49931000,360)</f>
        <v>357.516327863412</v>
      </c>
      <c r="AO80" s="32" t="n">
        <f aca="false"> AN80 + (1.9146 - 0.004817*L80 - 0.000014*L80^2)*SIN(Q80)+ (0.019993 - 0.000101*L80)*SIN(2*Q80)+ 0.00029*SIN(3*Q80)</f>
        <v>359.367791600339</v>
      </c>
      <c r="AP80" s="32" t="n">
        <f aca="false">ACOS(COS(W80-$A$10*AO80)*COS(Y80))/$A$10</f>
        <v>158.323046080785</v>
      </c>
      <c r="AQ80" s="34" t="n">
        <f aca="false">180 - AP80 -0.1468*(1-0.0549*SIN(Q80))*SIN($A$10*AP80)/(1-0.0167*SIN($A$10*AO80))</f>
        <v>21.6256037857548</v>
      </c>
      <c r="AR80" s="64" t="n">
        <f aca="false">SIN($A$10*AI80)</f>
        <v>-0.136069127514308</v>
      </c>
      <c r="AS80" s="64" t="n">
        <f aca="false">COS($A$10*AI80)*SIN($A$10*$B$5) - TAN($A$10*AG80)*COS($A$10*$B$5)</f>
        <v>0.821666501552869</v>
      </c>
      <c r="AT80" s="24" t="n">
        <f aca="false">IF(OR(AND(AR80*AS80&gt;0), AND(AR80&lt;0,AS80&gt;0)), MOD(ATAN2(AS80,AR80)/$A$10+360,360),  ATAN2(AS80,AR80)/$A$10)</f>
        <v>350.597073405843</v>
      </c>
      <c r="AU80" s="39" t="n">
        <f aca="false"> 385000.56 + (-20905355*COS(P80) - 3699111*COS(2*R80-P80) - 2955968*COS(2*R80) - 569925*COS(2*P80) + (1-0.002516*L80)*48888*COS(Q80) - 3149*COS(2*S80)  +246158*COS(2*R80-2*P80) -(1 - 0.002516*L80)*152138*COS(2*R80-Q80-P80) -170733*COS(2*R80+P80) -(1 - 0.002516*L80)*204586*COS(2*R80-Q80) -(1 - 0.002516*L80)*129620*COS(Q80-P80)  + 108743*COS(R80) +(1-0.002516*L80)*104755*COS(Q80+P80) +10321*COS(2*R80-2*S80) +79661*COS(P80-2*S80) -34782*COS(4*R80-P80) -23210*COS(3*P80)  -21636*COS(4*R80-2*P80) +(1 - 0.002516*L80)*24208*COS(2*R80+Q80-P80) +(1 - 0.002516*L80)*30824*COS(2*R80+Q80) -8379*COS(R80-P80) -(1 - 0.002516*L80)*16675*COS(R80+Q80)  -(1 - 0.002516*L80)*12831*COS(2*R80-Q80+P80) -10445*COS(2*R80+2*P80) -11650*COS(4*R80) +14403*COS(2*R80-3*P80) -(1-0.002516*L80)*7003*COS(Q80-2*P80)  + (1 - 0.002516*L80)*10056*COS(2*R80-Q80-2*P80) +6322*COS(R80+P80) -(1 - 0.002516*L80)*(1-0.002516*L80)*9884*COS(2*R80-2*Q80) +(1-0.002516*L80)*5751*COS(Q80+2*P80) - (1-0.002516*L80)^2*4950*COS(2*R80-2*Q80-P80)  +4130*COS(2*R80+P80-2*S80) -(1-0.002516*L80)*3958*COS(4*R80-Q80-P80) +3258*COS(3*R80-P80) +(1 - 0.002516*L80)*2616*COS(2*R80+Q80+P80) -(1 - 0.002516*L80)*1897*COS(4*R80-Q80-2*P80)  -(1-0.002516*L80)^2*2117*COS(2*Q80-P80) +(1-0.002516*L80)^2*2354*COS(2*R80+2*Q80-P80) -1423*COS(4*R80+P80) -1117*COS(4*P80) -(1-0.002516*L80)*1571*COS(4*R80-Q80)  -1739*COS(R80-2*P80) -4421*COS(2*P80-2*S80) +(1-0.002516*L80)^2*1165*COS(2*Q80+P80) +8752*COS(2*R80-P80-2*S80))/1000</f>
        <v>375050.166467225</v>
      </c>
      <c r="AV80" s="54" t="n">
        <f aca="false">ATAN(0.99664719*TAN($A$10*input!$E$2))</f>
        <v>0.871010436227447</v>
      </c>
      <c r="AW80" s="54" t="n">
        <f aca="false">COS(AV80)</f>
        <v>0.644053912545845</v>
      </c>
      <c r="AX80" s="54" t="n">
        <f aca="false">0.99664719*SIN(AV80)</f>
        <v>0.762415269897027</v>
      </c>
      <c r="AY80" s="54" t="n">
        <f aca="false">6378.14/AU80</f>
        <v>0.0170060983043381</v>
      </c>
      <c r="AZ80" s="55" t="n">
        <f aca="false">M80-15*AH80</f>
        <v>-7.8204468873472</v>
      </c>
      <c r="BA80" s="56" t="n">
        <f aca="false">COS($A$10*AG80)*SIN($A$10*AZ80)</f>
        <v>-0.135425422216356</v>
      </c>
      <c r="BB80" s="56" t="n">
        <f aca="false">COS($A$10*AG80)*COS($A$10*AZ80)-AW80*AY80</f>
        <v>0.975059777237434</v>
      </c>
      <c r="BC80" s="56" t="n">
        <f aca="false">SIN($A$10*AG80)-AX80*AY80</f>
        <v>-0.110120562134899</v>
      </c>
      <c r="BD80" s="57" t="n">
        <f aca="false">SQRT(BA80^2+BB80^2+BC80^2)</f>
        <v>0.990559514806505</v>
      </c>
      <c r="BE80" s="58" t="n">
        <f aca="false">AU80*BD80</f>
        <v>371509.510923873</v>
      </c>
    </row>
    <row r="81" customFormat="false" ht="15" hidden="false" customHeight="false" outlineLevel="0" collapsed="false">
      <c r="D81" s="41" t="n">
        <f aca="false">K81-INT(275*E81/9)+IF($A$8="common year",2,1)*INT((E81+9)/12)+30</f>
        <v>21</v>
      </c>
      <c r="E81" s="41" t="n">
        <f aca="false">IF(K81&lt;32,1,INT(9*(IF($A$8="common year",2,1)+K81)/275+0.98))</f>
        <v>3</v>
      </c>
      <c r="F81" s="42" t="n">
        <f aca="false">AM81</f>
        <v>25.2026272425951</v>
      </c>
      <c r="G81" s="60" t="n">
        <f aca="false">F81+1.02/(TAN($A$10*(F81+10.3/(F81+5.11)))*60)</f>
        <v>25.2382006804594</v>
      </c>
      <c r="H81" s="43" t="n">
        <f aca="false">100*(1+COS($A$10*AQ81))/2</f>
        <v>91.2521145936574</v>
      </c>
      <c r="I81" s="43" t="n">
        <f aca="false">IF(AI81&gt;180,AT81-180,AT81+180)</f>
        <v>158.528591916363</v>
      </c>
      <c r="J81" s="61" t="n">
        <f aca="false">$J$2+K80</f>
        <v>2459659.5</v>
      </c>
      <c r="K81" s="21" t="n">
        <v>80</v>
      </c>
      <c r="L81" s="62" t="n">
        <f aca="false">(J81-2451545)/36525</f>
        <v>0.222162902121834</v>
      </c>
      <c r="M81" s="63" t="n">
        <f aca="false">MOD(280.46061837+360.98564736629*(J81-2451545)+0.000387933*L81^2-L81^3/38710000+$B$7,360)</f>
        <v>193.496191276703</v>
      </c>
      <c r="N81" s="30" t="n">
        <f aca="false">0.606433+1336.855225*L81 - INT(0.606433+1336.855225*L81)</f>
        <v>0.606069502737853</v>
      </c>
      <c r="O81" s="35" t="n">
        <f aca="false">22640*SIN(P81)-4586*SIN(P81-2*R81)+2370*SIN(2*R81)+769*SIN(2*P81)-668*SIN(Q81)-412*SIN(2*S81)-212*SIN(2*P81-2*R81)-206*SIN(P81+Q81-2*R81)+192*SIN(P81+2*R81)-165*SIN(Q81-2*R81)-125*SIN(R81)-110*SIN(P81+Q81)+148*SIN(P81-Q81)-55*SIN(2*S81-2*R81)</f>
        <v>-12140.6272422543</v>
      </c>
      <c r="P81" s="32" t="n">
        <f aca="false">2*PI()*(0.374897+1325.55241*L81 - INT(0.374897+1325.55241*L81))</f>
        <v>5.42532517945797</v>
      </c>
      <c r="Q81" s="36" t="n">
        <f aca="false">2*PI()*(0.993133+99.997361*L81 - INT(0.993133+99.997361*L81))</f>
        <v>1.31216109426243</v>
      </c>
      <c r="R81" s="36" t="n">
        <f aca="false">2*PI()*(0.827361+1236.853086*L81 - INT(0.827361+1236.853086*L81))</f>
        <v>3.83420126482959</v>
      </c>
      <c r="S81" s="36" t="n">
        <f aca="false">2*PI()*(0.259086+1342.227825*L81 - INT(0.259086+1342.227825*L81))</f>
        <v>2.84197840098819</v>
      </c>
      <c r="T81" s="36" t="n">
        <f aca="false">S81+(O81+412*SIN(2*S81)+541*SIN(Q81))/206264.8062</f>
        <v>2.7845280222795</v>
      </c>
      <c r="U81" s="36" t="n">
        <f aca="false">S81-2*R81</f>
        <v>-4.82642412867098</v>
      </c>
      <c r="V81" s="34" t="n">
        <f aca="false">-526*SIN(U81)+44*SIN(P81+U81)-31*SIN(-P81+U81)-23*SIN(Q81+U81)+11*SIN(-Q81+U81)-25*SIN(-2*P81+S81)+21*SIN(-P81+S81)</f>
        <v>-513.803232307564</v>
      </c>
      <c r="W81" s="36" t="n">
        <f aca="false">2*PI()*(N81+O81/1296000-INT(N81+O81/1296000))</f>
        <v>3.74918757288916</v>
      </c>
      <c r="X81" s="35" t="n">
        <f aca="false">W81*180/PI()</f>
        <v>214.812624529445</v>
      </c>
      <c r="Y81" s="36" t="n">
        <f aca="false">(18520*SIN(T81)+V81)/206264.8062</f>
        <v>0.0288920318414563</v>
      </c>
      <c r="Z81" s="36" t="n">
        <f aca="false">Y81*180/PI()</f>
        <v>1.65539148607303</v>
      </c>
      <c r="AA81" s="36" t="n">
        <f aca="false">COS(Y81)*COS(W81)</f>
        <v>-0.820680787781906</v>
      </c>
      <c r="AB81" s="36" t="n">
        <f aca="false">COS(Y81)*SIN(W81)</f>
        <v>-0.570656225152065</v>
      </c>
      <c r="AC81" s="36" t="n">
        <f aca="false">SIN(Y81)</f>
        <v>0.0288880124076798</v>
      </c>
      <c r="AD81" s="36" t="n">
        <f aca="false">COS($A$10*(23.4393-46.815*L81/3600))*AB81-SIN($A$10*(23.4393-46.815*L81/3600))*AC81</f>
        <v>-0.535067919181224</v>
      </c>
      <c r="AE81" s="36" t="n">
        <f aca="false">SIN($A$10*(23.4393-46.815*L81/3600))*AB81+COS($A$10*(23.4393-46.815*L81/3600))*AC81</f>
        <v>-0.20046288042614</v>
      </c>
      <c r="AF81" s="36" t="n">
        <f aca="false">SQRT(1-AE81*AE81)</f>
        <v>0.979701298136965</v>
      </c>
      <c r="AG81" s="35" t="n">
        <f aca="false">ATAN(AE81/AF81)/$A$10</f>
        <v>-11.5640283181485</v>
      </c>
      <c r="AH81" s="36" t="n">
        <f aca="false">IF(24*ATAN(AD81/(AA81+AF81))/PI()&gt;0,24*ATAN(AD81/(AA81+AF81))/PI(),24*ATAN(AD81/(AA81+AF81))/PI()+24)</f>
        <v>14.2069045867756</v>
      </c>
      <c r="AI81" s="63" t="n">
        <f aca="false">IF(M81-15*AH81&gt;0,M81-15*AH81,360+M81-15*AH81)</f>
        <v>340.392622475069</v>
      </c>
      <c r="AJ81" s="32" t="n">
        <f aca="false">0.950724+0.051818*COS(P81)+0.009531*COS(2*R81-P81)+0.007843*COS(2*R81)+0.002824*COS(2*P81)+0.000857*COS(2*R81+P81)+0.000533*COS(2*R81-Q81)*(1-0.002495*(J81-2415020)/36525)+0.000401*COS(2*R81-Q81-P81)*(1-0.002495*(J81-2415020)/36525)+0.00032*COS(P81-Q81)*(1-0.002495*(J81-2415020)/36525)-0.000271*COS(R81)</f>
        <v>0.981257498516347</v>
      </c>
      <c r="AK81" s="36" t="n">
        <f aca="false">ASIN(COS($A$10*$B$5)*COS($A$10*AG81)*COS($A$10*AI81)+SIN($A$10*$B$5)*SIN($A$10*AG81))/$A$10</f>
        <v>26.082218085636</v>
      </c>
      <c r="AL81" s="32" t="n">
        <f aca="false">ASIN((0.9983271+0.0016764*COS($A$10*2*$B$5))*COS($A$10*AK81)*SIN($A$10*AJ81))/$A$10</f>
        <v>0.879590843040878</v>
      </c>
      <c r="AM81" s="32" t="n">
        <f aca="false">AK81-AL81</f>
        <v>25.2026272425951</v>
      </c>
      <c r="AN81" s="35" t="n">
        <f aca="false"> MOD(280.4664567 + 360007.6982779*L81/10 + 0.03032028*L81^2/100 + L81^3/49931000,360)</f>
        <v>358.501975227204</v>
      </c>
      <c r="AO81" s="32" t="n">
        <f aca="false"> AN81 + (1.9146 - 0.004817*L81 - 0.000014*L81^2)*SIN(Q81)+ (0.019993 - 0.000101*L81)*SIN(2*Q81)+ 0.00029*SIN(3*Q81)</f>
        <v>360.361528905274</v>
      </c>
      <c r="AP81" s="32" t="n">
        <f aca="false">ACOS(COS(W81-$A$10*AO81)*COS(Y81))/$A$10</f>
        <v>145.514063724924</v>
      </c>
      <c r="AQ81" s="34" t="n">
        <f aca="false">180 - AP81 -0.1468*(1-0.0549*SIN(Q81))*SIN($A$10*AP81)/(1-0.0167*SIN($A$10*AO81))</f>
        <v>34.4072206890923</v>
      </c>
      <c r="AR81" s="64" t="n">
        <f aca="false">SIN($A$10*AI81)</f>
        <v>-0.33557286826567</v>
      </c>
      <c r="AS81" s="64" t="n">
        <f aca="false">COS($A$10*AI81)*SIN($A$10*$B$5) - TAN($A$10*AG81)*COS($A$10*$B$5)</f>
        <v>0.853149621962058</v>
      </c>
      <c r="AT81" s="24" t="n">
        <f aca="false">IF(OR(AND(AR81*AS81&gt;0), AND(AR81&lt;0,AS81&gt;0)), MOD(ATAN2(AS81,AR81)/$A$10+360,360),  ATAN2(AS81,AR81)/$A$10)</f>
        <v>338.528591916363</v>
      </c>
      <c r="AU81" s="39" t="n">
        <f aca="false"> 385000.56 + (-20905355*COS(P81) - 3699111*COS(2*R81-P81) - 2955968*COS(2*R81) - 569925*COS(2*P81) + (1-0.002516*L81)*48888*COS(Q81) - 3149*COS(2*S81)  +246158*COS(2*R81-2*P81) -(1 - 0.002516*L81)*152138*COS(2*R81-Q81-P81) -170733*COS(2*R81+P81) -(1 - 0.002516*L81)*204586*COS(2*R81-Q81) -(1 - 0.002516*L81)*129620*COS(Q81-P81)  + 108743*COS(R81) +(1-0.002516*L81)*104755*COS(Q81+P81) +10321*COS(2*R81-2*S81) +79661*COS(P81-2*S81) -34782*COS(4*R81-P81) -23210*COS(3*P81)  -21636*COS(4*R81-2*P81) +(1 - 0.002516*L81)*24208*COS(2*R81+Q81-P81) +(1 - 0.002516*L81)*30824*COS(2*R81+Q81) -8379*COS(R81-P81) -(1 - 0.002516*L81)*16675*COS(R81+Q81)  -(1 - 0.002516*L81)*12831*COS(2*R81-Q81+P81) -10445*COS(2*R81+2*P81) -11650*COS(4*R81) +14403*COS(2*R81-3*P81) -(1-0.002516*L81)*7003*COS(Q81-2*P81)  + (1 - 0.002516*L81)*10056*COS(2*R81-Q81-2*P81) +6322*COS(R81+P81) -(1 - 0.002516*L81)*(1-0.002516*L81)*9884*COS(2*R81-2*Q81) +(1-0.002516*L81)*5751*COS(Q81+2*P81) - (1-0.002516*L81)^2*4950*COS(2*R81-2*Q81-P81)  +4130*COS(2*R81+P81-2*S81) -(1-0.002516*L81)*3958*COS(4*R81-Q81-P81) +3258*COS(3*R81-P81) +(1 - 0.002516*L81)*2616*COS(2*R81+Q81+P81) -(1 - 0.002516*L81)*1897*COS(4*R81-Q81-2*P81)  -(1-0.002516*L81)^2*2117*COS(2*Q81-P81) +(1-0.002516*L81)^2*2354*COS(2*R81+2*Q81-P81) -1423*COS(4*R81+P81) -1117*COS(4*P81) -(1-0.002516*L81)*1571*COS(4*R81-Q81)  -1739*COS(R81-2*P81) -4421*COS(2*P81-2*S81) +(1-0.002516*L81)^2*1165*COS(2*Q81+P81) +8752*COS(2*R81-P81-2*S81))/1000</f>
        <v>372623.027990275</v>
      </c>
      <c r="AV81" s="54" t="n">
        <f aca="false">ATAN(0.99664719*TAN($A$10*input!$E$2))</f>
        <v>0.871010436227447</v>
      </c>
      <c r="AW81" s="54" t="n">
        <f aca="false">COS(AV81)</f>
        <v>0.644053912545845</v>
      </c>
      <c r="AX81" s="54" t="n">
        <f aca="false">0.99664719*SIN(AV81)</f>
        <v>0.762415269897027</v>
      </c>
      <c r="AY81" s="54" t="n">
        <f aca="false">6378.14/AU81</f>
        <v>0.0171168701902301</v>
      </c>
      <c r="AZ81" s="55" t="n">
        <f aca="false">M81-15*AH81</f>
        <v>-19.6073775249307</v>
      </c>
      <c r="BA81" s="56" t="n">
        <f aca="false">COS($A$10*AG81)*SIN($A$10*AZ81)</f>
        <v>-0.328761174659423</v>
      </c>
      <c r="BB81" s="56" t="n">
        <f aca="false">COS($A$10*AG81)*COS($A$10*AZ81)-AW81*AY81</f>
        <v>0.911868397870034</v>
      </c>
      <c r="BC81" s="56" t="n">
        <f aca="false">SIN($A$10*AG81)-AX81*AY81</f>
        <v>-0.213513043632017</v>
      </c>
      <c r="BD81" s="57" t="n">
        <f aca="false">SQRT(BA81^2+BB81^2+BC81^2)</f>
        <v>0.992560176915493</v>
      </c>
      <c r="BE81" s="58" t="n">
        <f aca="false">AU81*BD81</f>
        <v>369850.778584814</v>
      </c>
    </row>
    <row r="82" customFormat="false" ht="15" hidden="false" customHeight="false" outlineLevel="0" collapsed="false">
      <c r="D82" s="41" t="n">
        <f aca="false">K82-INT(275*E82/9)+IF($A$8="common year",2,1)*INT((E82+9)/12)+30</f>
        <v>22</v>
      </c>
      <c r="E82" s="41" t="n">
        <f aca="false">IF(K82&lt;32,1,INT(9*(IF($A$8="common year",2,1)+K82)/275+0.98))</f>
        <v>3</v>
      </c>
      <c r="F82" s="42" t="n">
        <f aca="false">AM82</f>
        <v>16.3230490178463</v>
      </c>
      <c r="G82" s="60" t="n">
        <f aca="false">F82+1.02/(TAN($A$10*(F82+10.3/(F82+5.11)))*60)</f>
        <v>16.3793428967453</v>
      </c>
      <c r="H82" s="43" t="n">
        <f aca="false">100*(1+COS($A$10*AQ82))/2</f>
        <v>83.8409058959239</v>
      </c>
      <c r="I82" s="43" t="n">
        <f aca="false">IF(AI82&gt;180,AT82-180,AT82+180)</f>
        <v>147.908508460146</v>
      </c>
      <c r="J82" s="61" t="n">
        <f aca="false">$J$2+K81</f>
        <v>2459660.5</v>
      </c>
      <c r="K82" s="21" t="n">
        <v>81</v>
      </c>
      <c r="L82" s="62" t="n">
        <f aca="false">(J82-2451545)/36525</f>
        <v>0.222190280629706</v>
      </c>
      <c r="M82" s="63" t="n">
        <f aca="false">MOD(280.46061837+360.98564736629*(J82-2451545)+0.000387933*L82^2-L82^3/38710000+$B$7,360)</f>
        <v>194.481838647742</v>
      </c>
      <c r="N82" s="30" t="n">
        <f aca="false">0.606433+1336.855225*L82 - INT(0.606433+1336.855225*L82)</f>
        <v>0.642670604038358</v>
      </c>
      <c r="O82" s="35" t="n">
        <f aca="false">22640*SIN(P82)-4586*SIN(P82-2*R82)+2370*SIN(2*R82)+769*SIN(2*P82)-668*SIN(Q82)-412*SIN(2*S82)-212*SIN(2*P82-2*R82)-206*SIN(P82+Q82-2*R82)+192*SIN(P82+2*R82)-165*SIN(Q82-2*R82)-125*SIN(R82)-110*SIN(P82+Q82)+148*SIN(P82-Q82)-55*SIN(2*S82-2*R82)</f>
        <v>-9004.0881866505</v>
      </c>
      <c r="P82" s="32" t="n">
        <f aca="false">2*PI()*(0.374897+1325.55241*L82 - INT(0.374897+1325.55241*L82))</f>
        <v>5.65335232323343</v>
      </c>
      <c r="Q82" s="36" t="n">
        <f aca="false">2*PI()*(0.993133+99.997361*L82 - INT(0.993133+99.997361*L82))</f>
        <v>1.32936306412943</v>
      </c>
      <c r="R82" s="36" t="n">
        <f aca="false">2*PI()*(0.827361+1236.853086*L82 - INT(0.827361+1236.853086*L82))</f>
        <v>4.04696997494826</v>
      </c>
      <c r="S82" s="36" t="n">
        <f aca="false">2*PI()*(0.259086+1342.227825*L82 - INT(0.259086+1342.227825*L82))</f>
        <v>3.07287412032884</v>
      </c>
      <c r="T82" s="36" t="n">
        <f aca="false">S82+(O82+412*SIN(2*S82)+541*SIN(Q82))/206264.8062</f>
        <v>3.03149418096445</v>
      </c>
      <c r="U82" s="36" t="n">
        <f aca="false">S82-2*R82</f>
        <v>-5.02106582956767</v>
      </c>
      <c r="V82" s="34" t="n">
        <f aca="false">-526*SIN(U82)+44*SIN(P82+U82)-31*SIN(-P82+U82)-23*SIN(Q82+U82)+11*SIN(-Q82+U82)-25*SIN(-2*P82+S82)+21*SIN(-P82+S82)</f>
        <v>-505.2705460639</v>
      </c>
      <c r="W82" s="36" t="n">
        <f aca="false">2*PI()*(N82+O82/1296000-INT(N82+O82/1296000))</f>
        <v>3.99436544526199</v>
      </c>
      <c r="X82" s="35" t="n">
        <f aca="false">W82*180/PI()</f>
        <v>228.860281846406</v>
      </c>
      <c r="Y82" s="36" t="n">
        <f aca="false">(18520*SIN(T82)+V82)/206264.8062</f>
        <v>0.00741588589172943</v>
      </c>
      <c r="Z82" s="36" t="n">
        <f aca="false">Y82*180/PI()</f>
        <v>0.424898962946707</v>
      </c>
      <c r="AA82" s="36" t="n">
        <f aca="false">COS(Y82)*COS(W82)</f>
        <v>-0.65787937683427</v>
      </c>
      <c r="AB82" s="36" t="n">
        <f aca="false">COS(Y82)*SIN(W82)</f>
        <v>-0.753086801889895</v>
      </c>
      <c r="AC82" s="36" t="n">
        <f aca="false">SIN(Y82)</f>
        <v>0.00741581791869289</v>
      </c>
      <c r="AD82" s="36" t="n">
        <f aca="false">COS($A$10*(23.4393-46.815*L82/3600))*AB82-SIN($A$10*(23.4393-46.815*L82/3600))*AC82</f>
        <v>-0.693908192171538</v>
      </c>
      <c r="AE82" s="36" t="n">
        <f aca="false">SIN($A$10*(23.4393-46.815*L82/3600))*AB82+COS($A$10*(23.4393-46.815*L82/3600))*AC82</f>
        <v>-0.292721960866247</v>
      </c>
      <c r="AF82" s="36" t="n">
        <f aca="false">SQRT(1-AE82*AE82)</f>
        <v>0.956197601767867</v>
      </c>
      <c r="AG82" s="35" t="n">
        <f aca="false">ATAN(AE82/AF82)/$A$10</f>
        <v>-17.02098632555</v>
      </c>
      <c r="AH82" s="36" t="n">
        <f aca="false">IF(24*ATAN(AD82/(AA82+AF82))/PI()&gt;0,24*ATAN(AD82/(AA82+AF82))/PI(),24*ATAN(AD82/(AA82+AF82))/PI()+24)</f>
        <v>15.1017817942995</v>
      </c>
      <c r="AI82" s="63" t="n">
        <f aca="false">IF(M82-15*AH82&gt;0,M82-15*AH82,360+M82-15*AH82)</f>
        <v>327.955111733249</v>
      </c>
      <c r="AJ82" s="32" t="n">
        <f aca="false">0.950724+0.051818*COS(P82)+0.009531*COS(2*R82-P82)+0.007843*COS(2*R82)+0.002824*COS(2*P82)+0.000857*COS(2*R82+P82)+0.000533*COS(2*R82-Q82)*(1-0.002495*(J82-2415020)/36525)+0.000401*COS(2*R82-Q82-P82)*(1-0.002495*(J82-2415020)/36525)+0.00032*COS(P82-Q82)*(1-0.002495*(J82-2415020)/36525)-0.000271*COS(R82)</f>
        <v>0.985337001307585</v>
      </c>
      <c r="AK82" s="36" t="n">
        <f aca="false">ASIN(COS($A$10*$B$5)*COS($A$10*AG82)*COS($A$10*AI82)+SIN($A$10*$B$5)*SIN($A$10*AG82))/$A$10</f>
        <v>17.262151236351</v>
      </c>
      <c r="AL82" s="32" t="n">
        <f aca="false">ASIN((0.9983271+0.0016764*COS($A$10*2*$B$5))*COS($A$10*AK82)*SIN($A$10*AJ82))/$A$10</f>
        <v>0.939102218504748</v>
      </c>
      <c r="AM82" s="32" t="n">
        <f aca="false">AK82-AL82</f>
        <v>16.3230490178463</v>
      </c>
      <c r="AN82" s="35" t="n">
        <f aca="false"> MOD(280.4664567 + 360007.6982779*L82/10 + 0.03032028*L82^2/100 + L82^3/49931000,360)</f>
        <v>359.487622590994</v>
      </c>
      <c r="AO82" s="32" t="n">
        <f aca="false"> AN82 + (1.9146 - 0.004817*L82 - 0.000014*L82^2)*SIN(Q82)+ (0.019993 - 0.000101*L82)*SIN(2*Q82)+ 0.00029*SIN(3*Q82)</f>
        <v>361.354707690552</v>
      </c>
      <c r="AP82" s="32" t="n">
        <f aca="false">ACOS(COS(W82-$A$10*AO82)*COS(Y82))/$A$10</f>
        <v>132.492982468585</v>
      </c>
      <c r="AQ82" s="34" t="n">
        <f aca="false">180 - AP82 -0.1468*(1-0.0549*SIN(Q82))*SIN($A$10*AP82)/(1-0.0167*SIN($A$10*AO82))</f>
        <v>47.4045028600446</v>
      </c>
      <c r="AR82" s="64" t="n">
        <f aca="false">SIN($A$10*AI82)</f>
        <v>-0.530583503162958</v>
      </c>
      <c r="AS82" s="64" t="n">
        <f aca="false">COS($A$10*AI82)*SIN($A$10*$B$5) - TAN($A$10*AG82)*COS($A$10*$B$5)</f>
        <v>0.846101668242386</v>
      </c>
      <c r="AT82" s="24" t="n">
        <f aca="false">IF(OR(AND(AR82*AS82&gt;0), AND(AR82&lt;0,AS82&gt;0)), MOD(ATAN2(AS82,AR82)/$A$10+360,360),  ATAN2(AS82,AR82)/$A$10)</f>
        <v>327.908508460146</v>
      </c>
      <c r="AU82" s="39" t="n">
        <f aca="false"> 385000.56 + (-20905355*COS(P82) - 3699111*COS(2*R82-P82) - 2955968*COS(2*R82) - 569925*COS(2*P82) + (1-0.002516*L82)*48888*COS(Q82) - 3149*COS(2*S82)  +246158*COS(2*R82-2*P82) -(1 - 0.002516*L82)*152138*COS(2*R82-Q82-P82) -170733*COS(2*R82+P82) -(1 - 0.002516*L82)*204586*COS(2*R82-Q82) -(1 - 0.002516*L82)*129620*COS(Q82-P82)  + 108743*COS(R82) +(1-0.002516*L82)*104755*COS(Q82+P82) +10321*COS(2*R82-2*S82) +79661*COS(P82-2*S82) -34782*COS(4*R82-P82) -23210*COS(3*P82)  -21636*COS(4*R82-2*P82) +(1 - 0.002516*L82)*24208*COS(2*R82+Q82-P82) +(1 - 0.002516*L82)*30824*COS(2*R82+Q82) -8379*COS(R82-P82) -(1 - 0.002516*L82)*16675*COS(R82+Q82)  -(1 - 0.002516*L82)*12831*COS(2*R82-Q82+P82) -10445*COS(2*R82+2*P82) -11650*COS(4*R82) +14403*COS(2*R82-3*P82) -(1-0.002516*L82)*7003*COS(Q82-2*P82)  + (1 - 0.002516*L82)*10056*COS(2*R82-Q82-2*P82) +6322*COS(R82+P82) -(1 - 0.002516*L82)*(1-0.002516*L82)*9884*COS(2*R82-2*Q82) +(1-0.002516*L82)*5751*COS(Q82+2*P82) - (1-0.002516*L82)^2*4950*COS(2*R82-2*Q82-P82)  +4130*COS(2*R82+P82-2*S82) -(1-0.002516*L82)*3958*COS(4*R82-Q82-P82) +3258*COS(3*R82-P82) +(1 - 0.002516*L82)*2616*COS(2*R82+Q82+P82) -(1 - 0.002516*L82)*1897*COS(4*R82-Q82-2*P82)  -(1-0.002516*L82)^2*2117*COS(2*Q82-P82) +(1-0.002516*L82)^2*2354*COS(2*R82+2*Q82-P82) -1423*COS(4*R82+P82) -1117*COS(4*P82) -(1-0.002516*L82)*1571*COS(4*R82-Q82)  -1739*COS(R82-2*P82) -4421*COS(2*P82-2*S82) +(1-0.002516*L82)^2*1165*COS(2*Q82+P82) +8752*COS(2*R82-P82-2*S82))/1000</f>
        <v>370970.256364554</v>
      </c>
      <c r="AV82" s="54" t="n">
        <f aca="false">ATAN(0.99664719*TAN($A$10*input!$E$2))</f>
        <v>0.871010436227447</v>
      </c>
      <c r="AW82" s="54" t="n">
        <f aca="false">COS(AV82)</f>
        <v>0.644053912545845</v>
      </c>
      <c r="AX82" s="54" t="n">
        <f aca="false">0.99664719*SIN(AV82)</f>
        <v>0.762415269897027</v>
      </c>
      <c r="AY82" s="54" t="n">
        <f aca="false">6378.14/AU82</f>
        <v>0.0171931304210335</v>
      </c>
      <c r="AZ82" s="55" t="n">
        <f aca="false">M82-15*AH82</f>
        <v>-32.044888266751</v>
      </c>
      <c r="BA82" s="56" t="n">
        <f aca="false">COS($A$10*AG82)*SIN($A$10*AZ82)</f>
        <v>-0.507342673262015</v>
      </c>
      <c r="BB82" s="56" t="n">
        <f aca="false">COS($A$10*AG82)*COS($A$10*AZ82)-AW82*AY82</f>
        <v>0.799431024964509</v>
      </c>
      <c r="BC82" s="56" t="n">
        <f aca="false">SIN($A$10*AG82)-AX82*AY82</f>
        <v>-0.305830266036574</v>
      </c>
      <c r="BD82" s="57" t="n">
        <f aca="false">SQRT(BA82^2+BB82^2+BC82^2)</f>
        <v>0.994996835880625</v>
      </c>
      <c r="BE82" s="58" t="n">
        <f aca="false">AU82*BD82</f>
        <v>369114.231288556</v>
      </c>
    </row>
    <row r="83" customFormat="false" ht="15" hidden="false" customHeight="false" outlineLevel="0" collapsed="false">
      <c r="D83" s="41" t="n">
        <f aca="false">K83-INT(275*E83/9)+IF($A$8="common year",2,1)*INT((E83+9)/12)+30</f>
        <v>23</v>
      </c>
      <c r="E83" s="41" t="n">
        <f aca="false">IF(K83&lt;32,1,INT(9*(IF($A$8="common year",2,1)+K83)/275+0.98))</f>
        <v>3</v>
      </c>
      <c r="F83" s="42" t="n">
        <f aca="false">AM83</f>
        <v>7.01150117013079</v>
      </c>
      <c r="G83" s="60" t="n">
        <f aca="false">F83+1.02/(TAN($A$10*(F83+10.3/(F83+5.11)))*60)</f>
        <v>7.1346254670047</v>
      </c>
      <c r="H83" s="43" t="n">
        <f aca="false">100*(1+COS($A$10*AQ83))/2</f>
        <v>74.6187971099202</v>
      </c>
      <c r="I83" s="43" t="n">
        <f aca="false">IF(AI83&gt;180,AT83-180,AT83+180)</f>
        <v>138.144834805086</v>
      </c>
      <c r="J83" s="61" t="n">
        <f aca="false">$J$2+K82</f>
        <v>2459661.5</v>
      </c>
      <c r="K83" s="21" t="n">
        <v>82</v>
      </c>
      <c r="L83" s="62" t="n">
        <f aca="false">(J83-2451545)/36525</f>
        <v>0.222217659137577</v>
      </c>
      <c r="M83" s="63" t="n">
        <f aca="false">MOD(280.46061837+360.98564736629*(J83-2451545)+0.000387933*L83^2-L83^3/38710000+$B$7,360)</f>
        <v>195.467486018781</v>
      </c>
      <c r="N83" s="30" t="n">
        <f aca="false">0.606433+1336.855225*L83 - INT(0.606433+1336.855225*L83)</f>
        <v>0.679271705338806</v>
      </c>
      <c r="O83" s="35" t="n">
        <f aca="false">22640*SIN(P83)-4586*SIN(P83-2*R83)+2370*SIN(2*R83)+769*SIN(2*P83)-668*SIN(Q83)-412*SIN(2*S83)-212*SIN(2*P83-2*R83)-206*SIN(P83+Q83-2*R83)+192*SIN(P83+2*R83)-165*SIN(Q83-2*R83)-125*SIN(R83)-110*SIN(P83+Q83)+148*SIN(P83-Q83)-55*SIN(2*S83-2*R83)</f>
        <v>-5650.74509244327</v>
      </c>
      <c r="P83" s="32" t="n">
        <f aca="false">2*PI()*(0.374897+1325.55241*L83 - INT(0.374897+1325.55241*L83))</f>
        <v>5.88137946700925</v>
      </c>
      <c r="Q83" s="36" t="n">
        <f aca="false">2*PI()*(0.993133+99.997361*L83 - INT(0.993133+99.997361*L83))</f>
        <v>1.34656503399642</v>
      </c>
      <c r="R83" s="36" t="n">
        <f aca="false">2*PI()*(0.827361+1236.853086*L83 - INT(0.827361+1236.853086*L83))</f>
        <v>4.25973868506728</v>
      </c>
      <c r="S83" s="36" t="n">
        <f aca="false">2*PI()*(0.259086+1342.227825*L83 - INT(0.259086+1342.227825*L83))</f>
        <v>3.30376983966984</v>
      </c>
      <c r="T83" s="36" t="n">
        <f aca="false">S83+(O83+412*SIN(2*S83)+541*SIN(Q83))/206264.8062</f>
        <v>3.27956800986479</v>
      </c>
      <c r="U83" s="36" t="n">
        <f aca="false">S83-2*R83</f>
        <v>-5.21570753046472</v>
      </c>
      <c r="V83" s="34" t="n">
        <f aca="false">-526*SIN(U83)+44*SIN(P83+U83)-31*SIN(-P83+U83)-23*SIN(Q83+U83)+11*SIN(-Q83+U83)-25*SIN(-2*P83+S83)+21*SIN(-P83+S83)</f>
        <v>-473.425040304707</v>
      </c>
      <c r="W83" s="36" t="n">
        <f aca="false">2*PI()*(N83+O83/1296000-INT(N83+O83/1296000))</f>
        <v>4.24059441327482</v>
      </c>
      <c r="X83" s="35" t="n">
        <f aca="false">W83*180/PI()</f>
        <v>242.968162507403</v>
      </c>
      <c r="Y83" s="36" t="n">
        <f aca="false">(18520*SIN(T83)+V83)/206264.8062</f>
        <v>-0.0146444212701437</v>
      </c>
      <c r="Z83" s="36" t="n">
        <f aca="false">Y83*180/PI()</f>
        <v>-0.839063532190848</v>
      </c>
      <c r="AA83" s="36" t="n">
        <f aca="false">COS(Y83)*COS(W83)</f>
        <v>-0.454436800990535</v>
      </c>
      <c r="AB83" s="36" t="n">
        <f aca="false">COS(Y83)*SIN(W83)</f>
        <v>-0.890658604719907</v>
      </c>
      <c r="AC83" s="36" t="n">
        <f aca="false">SIN(Y83)</f>
        <v>-0.0146438978375849</v>
      </c>
      <c r="AD83" s="36" t="n">
        <f aca="false">COS($A$10*(23.4393-46.815*L83/3600))*AB83-SIN($A$10*(23.4393-46.815*L83/3600))*AC83</f>
        <v>-0.811356773341569</v>
      </c>
      <c r="AE83" s="36" t="n">
        <f aca="false">SIN($A$10*(23.4393-46.815*L83/3600))*AB83+COS($A$10*(23.4393-46.815*L83/3600))*AC83</f>
        <v>-0.367678365230057</v>
      </c>
      <c r="AF83" s="36" t="n">
        <f aca="false">SQRT(1-AE83*AE83)</f>
        <v>0.929953020179919</v>
      </c>
      <c r="AG83" s="35" t="n">
        <f aca="false">ATAN(AE83/AF83)/$A$10</f>
        <v>-21.572507122732</v>
      </c>
      <c r="AH83" s="36" t="n">
        <f aca="false">IF(24*ATAN(AD83/(AA83+AF83))/PI()&gt;0,24*ATAN(AD83/(AA83+AF83))/PI(),24*ATAN(AD83/(AA83+AF83))/PI()+24)</f>
        <v>16.0498022664078</v>
      </c>
      <c r="AI83" s="63" t="n">
        <f aca="false">IF(M83-15*AH83&gt;0,M83-15*AH83,360+M83-15*AH83)</f>
        <v>314.720452022664</v>
      </c>
      <c r="AJ83" s="32" t="n">
        <f aca="false">0.950724+0.051818*COS(P83)+0.009531*COS(2*R83-P83)+0.007843*COS(2*R83)+0.002824*COS(2*P83)+0.000857*COS(2*R83+P83)+0.000533*COS(2*R83-Q83)*(1-0.002495*(J83-2415020)/36525)+0.000401*COS(2*R83-Q83-P83)*(1-0.002495*(J83-2415020)/36525)+0.00032*COS(P83-Q83)*(1-0.002495*(J83-2415020)/36525)-0.000271*COS(R83)</f>
        <v>0.987467878243315</v>
      </c>
      <c r="AK83" s="36" t="n">
        <f aca="false">ASIN(COS($A$10*$B$5)*COS($A$10*AG83)*COS($A$10*AI83)+SIN($A$10*$B$5)*SIN($A$10*AG83))/$A$10</f>
        <v>7.98746742133503</v>
      </c>
      <c r="AL83" s="32" t="n">
        <f aca="false">ASIN((0.9983271+0.0016764*COS($A$10*2*$B$5))*COS($A$10*AK83)*SIN($A$10*AJ83))/$A$10</f>
        <v>0.975966251204244</v>
      </c>
      <c r="AM83" s="32" t="n">
        <f aca="false">AK83-AL83</f>
        <v>7.01150117013079</v>
      </c>
      <c r="AN83" s="35" t="n">
        <f aca="false"> MOD(280.4664567 + 360007.6982779*L83/10 + 0.03032028*L83^2/100 + L83^3/49931000,360)</f>
        <v>0.473269954787611</v>
      </c>
      <c r="AO83" s="32" t="n">
        <f aca="false"> AN83 + (1.9146 - 0.004817*L83 - 0.000014*L83^2)*SIN(Q83)+ (0.019993 - 0.000101*L83)*SIN(2*Q83)+ 0.00029*SIN(3*Q83)</f>
        <v>2.34732628699628</v>
      </c>
      <c r="AP83" s="32" t="n">
        <f aca="false">ACOS(COS(W83-$A$10*AO83)*COS(Y83))/$A$10</f>
        <v>119.375704989875</v>
      </c>
      <c r="AQ83" s="34" t="n">
        <f aca="false">180 - AP83 -0.1468*(1-0.0549*SIN(Q83))*SIN($A$10*AP83)/(1-0.0167*SIN($A$10*AO83))</f>
        <v>60.5031346526241</v>
      </c>
      <c r="AR83" s="64" t="n">
        <f aca="false">SIN($A$10*AI83)</f>
        <v>-0.710548348243841</v>
      </c>
      <c r="AS83" s="64" t="n">
        <f aca="false">COS($A$10*AI83)*SIN($A$10*$B$5) - TAN($A$10*AG83)*COS($A$10*$B$5)</f>
        <v>0.793166832583284</v>
      </c>
      <c r="AT83" s="24" t="n">
        <f aca="false">IF(OR(AND(AR83*AS83&gt;0), AND(AR83&lt;0,AS83&gt;0)), MOD(ATAN2(AS83,AR83)/$A$10+360,360),  ATAN2(AS83,AR83)/$A$10)</f>
        <v>318.144834805086</v>
      </c>
      <c r="AU83" s="39" t="n">
        <f aca="false"> 385000.56 + (-20905355*COS(P83) - 3699111*COS(2*R83-P83) - 2955968*COS(2*R83) - 569925*COS(2*P83) + (1-0.002516*L83)*48888*COS(Q83) - 3149*COS(2*S83)  +246158*COS(2*R83-2*P83) -(1 - 0.002516*L83)*152138*COS(2*R83-Q83-P83) -170733*COS(2*R83+P83) -(1 - 0.002516*L83)*204586*COS(2*R83-Q83) -(1 - 0.002516*L83)*129620*COS(Q83-P83)  + 108743*COS(R83) +(1-0.002516*L83)*104755*COS(Q83+P83) +10321*COS(2*R83-2*S83) +79661*COS(P83-2*S83) -34782*COS(4*R83-P83) -23210*COS(3*P83)  -21636*COS(4*R83-2*P83) +(1 - 0.002516*L83)*24208*COS(2*R83+Q83-P83) +(1 - 0.002516*L83)*30824*COS(2*R83+Q83) -8379*COS(R83-P83) -(1 - 0.002516*L83)*16675*COS(R83+Q83)  -(1 - 0.002516*L83)*12831*COS(2*R83-Q83+P83) -10445*COS(2*R83+2*P83) -11650*COS(4*R83) +14403*COS(2*R83-3*P83) -(1-0.002516*L83)*7003*COS(Q83-2*P83)  + (1 - 0.002516*L83)*10056*COS(2*R83-Q83-2*P83) +6322*COS(R83+P83) -(1 - 0.002516*L83)*(1-0.002516*L83)*9884*COS(2*R83-2*Q83) +(1-0.002516*L83)*5751*COS(Q83+2*P83) - (1-0.002516*L83)^2*4950*COS(2*R83-2*Q83-P83)  +4130*COS(2*R83+P83-2*S83) -(1-0.002516*L83)*3958*COS(4*R83-Q83-P83) +3258*COS(3*R83-P83) +(1 - 0.002516*L83)*2616*COS(2*R83+Q83+P83) -(1 - 0.002516*L83)*1897*COS(4*R83-Q83-2*P83)  -(1-0.002516*L83)^2*2117*COS(2*Q83-P83) +(1-0.002516*L83)^2*2354*COS(2*R83+2*Q83-P83) -1423*COS(4*R83+P83) -1117*COS(4*P83) -(1-0.002516*L83)*1571*COS(4*R83-Q83)  -1739*COS(R83-2*P83) -4421*COS(2*P83-2*S83) +(1-0.002516*L83)^2*1165*COS(2*Q83+P83) +8752*COS(2*R83-P83-2*S83))/1000</f>
        <v>370044.715029349</v>
      </c>
      <c r="AV83" s="54" t="n">
        <f aca="false">ATAN(0.99664719*TAN($A$10*input!$E$2))</f>
        <v>0.871010436227447</v>
      </c>
      <c r="AW83" s="54" t="n">
        <f aca="false">COS(AV83)</f>
        <v>0.644053912545845</v>
      </c>
      <c r="AX83" s="54" t="n">
        <f aca="false">0.99664719*SIN(AV83)</f>
        <v>0.762415269897027</v>
      </c>
      <c r="AY83" s="54" t="n">
        <f aca="false">6378.14/AU83</f>
        <v>0.0172361332048591</v>
      </c>
      <c r="AZ83" s="55" t="n">
        <f aca="false">M83-15*AH83</f>
        <v>-45.2795479773357</v>
      </c>
      <c r="BA83" s="56" t="n">
        <f aca="false">COS($A$10*AG83)*SIN($A$10*AZ83)</f>
        <v>-0.660776582433213</v>
      </c>
      <c r="BB83" s="56" t="n">
        <f aca="false">COS($A$10*AG83)*COS($A$10*AZ83)-AW83*AY83</f>
        <v>0.643258938506353</v>
      </c>
      <c r="BC83" s="56" t="n">
        <f aca="false">SIN($A$10*AG83)-AX83*AY83</f>
        <v>-0.380819456379421</v>
      </c>
      <c r="BD83" s="57" t="n">
        <f aca="false">SQRT(BA83^2+BB83^2+BC83^2)</f>
        <v>0.997712990903473</v>
      </c>
      <c r="BE83" s="58" t="n">
        <f aca="false">AU83*BD83</f>
        <v>369198.419399956</v>
      </c>
    </row>
    <row r="84" customFormat="false" ht="15" hidden="false" customHeight="false" outlineLevel="0" collapsed="false">
      <c r="D84" s="41" t="n">
        <f aca="false">K84-INT(275*E84/9)+IF($A$8="common year",2,1)*INT((E84+9)/12)+30</f>
        <v>24</v>
      </c>
      <c r="E84" s="41" t="n">
        <f aca="false">IF(K84&lt;32,1,INT(9*(IF($A$8="common year",2,1)+K84)/275+0.98))</f>
        <v>3</v>
      </c>
      <c r="F84" s="42" t="n">
        <f aca="false">AM84</f>
        <v>-2.37996592190824</v>
      </c>
      <c r="G84" s="60" t="n">
        <f aca="false">F84+1.02/(TAN($A$10*(F84+10.3/(F84+5.11)))*60)</f>
        <v>-1.68081320614846</v>
      </c>
      <c r="H84" s="43" t="n">
        <f aca="false">100*(1+COS($A$10*AQ84))/2</f>
        <v>64.0860499828299</v>
      </c>
      <c r="I84" s="43" t="n">
        <f aca="false">IF(AI84&gt;180,AT84-180,AT84+180)</f>
        <v>128.690942699739</v>
      </c>
      <c r="J84" s="61" t="n">
        <f aca="false">$J$2+K83</f>
        <v>2459662.5</v>
      </c>
      <c r="K84" s="21" t="n">
        <v>83</v>
      </c>
      <c r="L84" s="62" t="n">
        <f aca="false">(J84-2451545)/36525</f>
        <v>0.222245037645448</v>
      </c>
      <c r="M84" s="63" t="n">
        <f aca="false">MOD(280.46061837+360.98564736629*(J84-2451545)+0.000387933*L84^2-L84^3/38710000+$B$7,360)</f>
        <v>196.453133389819</v>
      </c>
      <c r="N84" s="30" t="n">
        <f aca="false">0.606433+1336.855225*L84 - INT(0.606433+1336.855225*L84)</f>
        <v>0.715872806639254</v>
      </c>
      <c r="O84" s="35" t="n">
        <f aca="false">22640*SIN(P84)-4586*SIN(P84-2*R84)+2370*SIN(2*R84)+769*SIN(2*P84)-668*SIN(Q84)-412*SIN(2*S84)-212*SIN(2*P84-2*R84)-206*SIN(P84+Q84-2*R84)+192*SIN(P84+2*R84)-165*SIN(Q84-2*R84)-125*SIN(R84)-110*SIN(P84+Q84)+148*SIN(P84-Q84)-55*SIN(2*S84-2*R84)</f>
        <v>-2213.99069003796</v>
      </c>
      <c r="P84" s="32" t="n">
        <f aca="false">2*PI()*(0.374897+1325.55241*L84 - INT(0.374897+1325.55241*L84))</f>
        <v>6.10940661078471</v>
      </c>
      <c r="Q84" s="36" t="n">
        <f aca="false">2*PI()*(0.993133+99.997361*L84 - INT(0.993133+99.997361*L84))</f>
        <v>1.3637670038634</v>
      </c>
      <c r="R84" s="36" t="n">
        <f aca="false">2*PI()*(0.827361+1236.853086*L84 - INT(0.827361+1236.853086*L84))</f>
        <v>4.4725073951863</v>
      </c>
      <c r="S84" s="36" t="n">
        <f aca="false">2*PI()*(0.259086+1342.227825*L84 - INT(0.259086+1342.227825*L84))</f>
        <v>3.53466555901049</v>
      </c>
      <c r="T84" s="36" t="n">
        <f aca="false">S84+(O84+412*SIN(2*S84)+541*SIN(Q84))/206264.8062</f>
        <v>3.52791211629034</v>
      </c>
      <c r="U84" s="36" t="n">
        <f aca="false">S84-2*R84</f>
        <v>-5.41034923136212</v>
      </c>
      <c r="V84" s="34" t="n">
        <f aca="false">-526*SIN(U84)+44*SIN(P84+U84)-31*SIN(-P84+U84)-23*SIN(Q84+U84)+11*SIN(-Q84+U84)-25*SIN(-2*P84+S84)+21*SIN(-P84+S84)</f>
        <v>-419.202516650969</v>
      </c>
      <c r="W84" s="36" t="n">
        <f aca="false">2*PI()*(N84+O84/1296000-INT(N84+O84/1296000))</f>
        <v>4.48722777072138</v>
      </c>
      <c r="X84" s="35" t="n">
        <f aca="false">W84*180/PI()</f>
        <v>257.099212976232</v>
      </c>
      <c r="Y84" s="36" t="n">
        <f aca="false">(18520*SIN(T84)+V84)/206264.8062</f>
        <v>-0.0358626343833459</v>
      </c>
      <c r="Z84" s="36" t="n">
        <f aca="false">Y84*180/PI()</f>
        <v>-2.05477759238647</v>
      </c>
      <c r="AA84" s="36" t="n">
        <f aca="false">COS(Y84)*COS(W84)</f>
        <v>-0.223119948065146</v>
      </c>
      <c r="AB84" s="36" t="n">
        <f aca="false">COS(Y84)*SIN(W84)</f>
        <v>-0.974131362554093</v>
      </c>
      <c r="AC84" s="36" t="n">
        <f aca="false">SIN(Y84)</f>
        <v>-0.0358549475513792</v>
      </c>
      <c r="AD84" s="36" t="n">
        <f aca="false">COS($A$10*(23.4393-46.815*L84/3600))*AB84-SIN($A$10*(23.4393-46.815*L84/3600))*AC84</f>
        <v>-0.879506910815911</v>
      </c>
      <c r="AE84" s="36" t="n">
        <f aca="false">SIN($A$10*(23.4393-46.815*L84/3600))*AB84+COS($A$10*(23.4393-46.815*L84/3600))*AC84</f>
        <v>-0.420339247040364</v>
      </c>
      <c r="AF84" s="36" t="n">
        <f aca="false">SQRT(1-AE84*AE84)</f>
        <v>0.907367024636415</v>
      </c>
      <c r="AG84" s="35" t="n">
        <f aca="false">ATAN(AE84/AF84)/$A$10</f>
        <v>-24.8560074229286</v>
      </c>
      <c r="AH84" s="36" t="n">
        <f aca="false">IF(24*ATAN(AD84/(AA84+AF84))/PI()&gt;0,24*ATAN(AD84/(AA84+AF84))/PI(),24*ATAN(AD84/(AA84+AF84))/PI()+24)</f>
        <v>17.0510051525279</v>
      </c>
      <c r="AI84" s="63" t="n">
        <f aca="false">IF(M84-15*AH84&gt;0,M84-15*AH84,360+M84-15*AH84)</f>
        <v>300.6880561019</v>
      </c>
      <c r="AJ84" s="32" t="n">
        <f aca="false">0.950724+0.051818*COS(P84)+0.009531*COS(2*R84-P84)+0.007843*COS(2*R84)+0.002824*COS(2*P84)+0.000857*COS(2*R84+P84)+0.000533*COS(2*R84-Q84)*(1-0.002495*(J84-2415020)/36525)+0.000401*COS(2*R84-Q84-P84)*(1-0.002495*(J84-2415020)/36525)+0.00032*COS(P84-Q84)*(1-0.002495*(J84-2415020)/36525)-0.000271*COS(R84)</f>
        <v>0.98794805300211</v>
      </c>
      <c r="AK84" s="36" t="n">
        <f aca="false">ASIN(COS($A$10*$B$5)*COS($A$10*AG84)*COS($A$10*AI84)+SIN($A$10*$B$5)*SIN($A$10*AG84))/$A$10</f>
        <v>-1.39425034401865</v>
      </c>
      <c r="AL84" s="32" t="n">
        <f aca="false">ASIN((0.9983271+0.0016764*COS($A$10*2*$B$5))*COS($A$10*AK84)*SIN($A$10*AJ84))/$A$10</f>
        <v>0.985715577889593</v>
      </c>
      <c r="AM84" s="32" t="n">
        <f aca="false">AK84-AL84</f>
        <v>-2.37996592190824</v>
      </c>
      <c r="AN84" s="35" t="n">
        <f aca="false"> MOD(280.4664567 + 360007.6982779*L84/10 + 0.03032028*L84^2/100 + L84^3/49931000,360)</f>
        <v>1.45891731857955</v>
      </c>
      <c r="AO84" s="32" t="n">
        <f aca="false"> AN84 + (1.9146 - 0.004817*L84 - 0.000014*L84^2)*SIN(Q84)+ (0.019993 - 0.000101*L84)*SIN(2*Q84)+ 0.00029*SIN(3*Q84)</f>
        <v>3.33938319955244</v>
      </c>
      <c r="AP84" s="32" t="n">
        <f aca="false">ACOS(COS(W84-$A$10*AO84)*COS(Y84))/$A$10</f>
        <v>106.229439224169</v>
      </c>
      <c r="AQ84" s="34" t="n">
        <f aca="false">180 - AP84 -0.1468*(1-0.0549*SIN(Q84))*SIN($A$10*AP84)/(1-0.0167*SIN($A$10*AO84))</f>
        <v>73.6370537682991</v>
      </c>
      <c r="AR84" s="64" t="n">
        <f aca="false">SIN($A$10*AI84)</f>
        <v>-0.859958680867365</v>
      </c>
      <c r="AS84" s="64" t="n">
        <f aca="false">COS($A$10*AI84)*SIN($A$10*$B$5) - TAN($A$10*AG84)*COS($A$10*$B$5)</f>
        <v>0.688733650615961</v>
      </c>
      <c r="AT84" s="24" t="n">
        <f aca="false">IF(OR(AND(AR84*AS84&gt;0), AND(AR84&lt;0,AS84&gt;0)), MOD(ATAN2(AS84,AR84)/$A$10+360,360),  ATAN2(AS84,AR84)/$A$10)</f>
        <v>308.690942699739</v>
      </c>
      <c r="AU84" s="39" t="n">
        <f aca="false"> 385000.56 + (-20905355*COS(P84) - 3699111*COS(2*R84-P84) - 2955968*COS(2*R84) - 569925*COS(2*P84) + (1-0.002516*L84)*48888*COS(Q84) - 3149*COS(2*S84)  +246158*COS(2*R84-2*P84) -(1 - 0.002516*L84)*152138*COS(2*R84-Q84-P84) -170733*COS(2*R84+P84) -(1 - 0.002516*L84)*204586*COS(2*R84-Q84) -(1 - 0.002516*L84)*129620*COS(Q84-P84)  + 108743*COS(R84) +(1-0.002516*L84)*104755*COS(Q84+P84) +10321*COS(2*R84-2*S84) +79661*COS(P84-2*S84) -34782*COS(4*R84-P84) -23210*COS(3*P84)  -21636*COS(4*R84-2*P84) +(1 - 0.002516*L84)*24208*COS(2*R84+Q84-P84) +(1 - 0.002516*L84)*30824*COS(2*R84+Q84) -8379*COS(R84-P84) -(1 - 0.002516*L84)*16675*COS(R84+Q84)  -(1 - 0.002516*L84)*12831*COS(2*R84-Q84+P84) -10445*COS(2*R84+2*P84) -11650*COS(4*R84) +14403*COS(2*R84-3*P84) -(1-0.002516*L84)*7003*COS(Q84-2*P84)  + (1 - 0.002516*L84)*10056*COS(2*R84-Q84-2*P84) +6322*COS(R84+P84) -(1 - 0.002516*L84)*(1-0.002516*L84)*9884*COS(2*R84-2*Q84) +(1-0.002516*L84)*5751*COS(Q84+2*P84) - (1-0.002516*L84)^2*4950*COS(2*R84-2*Q84-P84)  +4130*COS(2*R84+P84-2*S84) -(1-0.002516*L84)*3958*COS(4*R84-Q84-P84) +3258*COS(3*R84-P84) +(1 - 0.002516*L84)*2616*COS(2*R84+Q84+P84) -(1 - 0.002516*L84)*1897*COS(4*R84-Q84-2*P84)  -(1-0.002516*L84)^2*2117*COS(2*Q84-P84) +(1-0.002516*L84)^2*2354*COS(2*R84+2*Q84-P84) -1423*COS(4*R84+P84) -1117*COS(4*P84) -(1-0.002516*L84)*1571*COS(4*R84-Q84)  -1739*COS(R84-2*P84) -4421*COS(2*P84-2*S84) +(1-0.002516*L84)^2*1165*COS(2*Q84+P84) +8752*COS(2*R84-P84-2*S84))/1000</f>
        <v>369760.943566772</v>
      </c>
      <c r="AV84" s="54" t="n">
        <f aca="false">ATAN(0.99664719*TAN($A$10*input!$E$2))</f>
        <v>0.871010436227447</v>
      </c>
      <c r="AW84" s="54" t="n">
        <f aca="false">COS(AV84)</f>
        <v>0.644053912545845</v>
      </c>
      <c r="AX84" s="54" t="n">
        <f aca="false">0.99664719*SIN(AV84)</f>
        <v>0.762415269897027</v>
      </c>
      <c r="AY84" s="54" t="n">
        <f aca="false">6378.14/AU84</f>
        <v>0.0172493610019367</v>
      </c>
      <c r="AZ84" s="55" t="n">
        <f aca="false">M84-15*AH84</f>
        <v>-59.3119438980997</v>
      </c>
      <c r="BA84" s="56" t="n">
        <f aca="false">COS($A$10*AG84)*SIN($A$10*AZ84)</f>
        <v>-0.780298149568877</v>
      </c>
      <c r="BB84" s="56" t="n">
        <f aca="false">COS($A$10*AG84)*COS($A$10*AZ84)-AW84*AY84</f>
        <v>0.451977638772199</v>
      </c>
      <c r="BC84" s="56" t="n">
        <f aca="false">SIN($A$10*AG84)-AX84*AY84</f>
        <v>-0.433490423264207</v>
      </c>
      <c r="BD84" s="57" t="n">
        <f aca="false">SQRT(BA84^2+BB84^2+BC84^2)</f>
        <v>1.00053132646234</v>
      </c>
      <c r="BE84" s="58" t="n">
        <f aca="false">AU84*BD84</f>
        <v>369957.407340829</v>
      </c>
    </row>
    <row r="85" customFormat="false" ht="15" hidden="false" customHeight="false" outlineLevel="0" collapsed="false">
      <c r="D85" s="41" t="n">
        <f aca="false">K85-INT(275*E85/9)+IF($A$8="common year",2,1)*INT((E85+9)/12)+30</f>
        <v>25</v>
      </c>
      <c r="E85" s="41" t="n">
        <f aca="false">IF(K85&lt;32,1,INT(9*(IF($A$8="common year",2,1)+K85)/275+0.98))</f>
        <v>3</v>
      </c>
      <c r="F85" s="42" t="n">
        <f aca="false">AM85</f>
        <v>-11.5482751005464</v>
      </c>
      <c r="G85" s="60" t="n">
        <f aca="false">F85+1.02/(TAN($A$10*(F85+10.3/(F85+5.11)))*60)</f>
        <v>-11.6210515328128</v>
      </c>
      <c r="H85" s="43" t="n">
        <f aca="false">100*(1+COS($A$10*AQ85))/2</f>
        <v>52.8226416282574</v>
      </c>
      <c r="I85" s="43" t="n">
        <f aca="false">IF(AI85&gt;180,AT85-180,AT85+180)</f>
        <v>119.040521984996</v>
      </c>
      <c r="J85" s="61" t="n">
        <f aca="false">$J$2+K84</f>
        <v>2459663.5</v>
      </c>
      <c r="K85" s="21" t="n">
        <v>84</v>
      </c>
      <c r="L85" s="62" t="n">
        <f aca="false">(J85-2451545)/36525</f>
        <v>0.22227241615332</v>
      </c>
      <c r="M85" s="63" t="n">
        <f aca="false">MOD(280.46061837+360.98564736629*(J85-2451545)+0.000387933*L85^2-L85^3/38710000+$B$7,360)</f>
        <v>197.438780760858</v>
      </c>
      <c r="N85" s="30" t="n">
        <f aca="false">0.606433+1336.855225*L85 - INT(0.606433+1336.855225*L85)</f>
        <v>0.752473907939759</v>
      </c>
      <c r="O85" s="35" t="n">
        <f aca="false">22640*SIN(P85)-4586*SIN(P85-2*R85)+2370*SIN(2*R85)+769*SIN(2*P85)-668*SIN(Q85)-412*SIN(2*S85)-212*SIN(2*P85-2*R85)-206*SIN(P85+Q85-2*R85)+192*SIN(P85+2*R85)-165*SIN(Q85-2*R85)-125*SIN(R85)-110*SIN(P85+Q85)+148*SIN(P85-Q85)-55*SIN(2*S85-2*R85)</f>
        <v>1217.60159988584</v>
      </c>
      <c r="P85" s="32" t="n">
        <f aca="false">2*PI()*(0.374897+1325.55241*L85 - INT(0.374897+1325.55241*L85))</f>
        <v>0.0542484473809387</v>
      </c>
      <c r="Q85" s="36" t="n">
        <f aca="false">2*PI()*(0.993133+99.997361*L85 - INT(0.993133+99.997361*L85))</f>
        <v>1.38096897373039</v>
      </c>
      <c r="R85" s="36" t="n">
        <f aca="false">2*PI()*(0.827361+1236.853086*L85 - INT(0.827361+1236.853086*L85))</f>
        <v>4.68527610530497</v>
      </c>
      <c r="S85" s="36" t="n">
        <f aca="false">2*PI()*(0.259086+1342.227825*L85 - INT(0.259086+1342.227825*L85))</f>
        <v>3.76556127835149</v>
      </c>
      <c r="T85" s="36" t="n">
        <f aca="false">S85+(O85+412*SIN(2*S85)+541*SIN(Q85))/206264.8062</f>
        <v>3.77593433430916</v>
      </c>
      <c r="U85" s="36" t="n">
        <f aca="false">S85-2*R85</f>
        <v>-5.60499093225845</v>
      </c>
      <c r="V85" s="34" t="n">
        <f aca="false">-526*SIN(U85)+44*SIN(P85+U85)-31*SIN(-P85+U85)-23*SIN(Q85+U85)+11*SIN(-Q85+U85)-25*SIN(-2*P85+S85)+21*SIN(-P85+S85)</f>
        <v>-345.120028006457</v>
      </c>
      <c r="W85" s="36" t="n">
        <f aca="false">2*PI()*(N85+O85/1296000-INT(N85+O85/1296000))</f>
        <v>4.73383610154075</v>
      </c>
      <c r="X85" s="35" t="n">
        <f aca="false">W85*180/PI()</f>
        <v>271.228829524948</v>
      </c>
      <c r="Y85" s="36" t="n">
        <f aca="false">(18520*SIN(T85)+V85)/206264.8062</f>
        <v>-0.0548855130920817</v>
      </c>
      <c r="Z85" s="36" t="n">
        <f aca="false">Y85*180/PI()</f>
        <v>-3.1447082565863</v>
      </c>
      <c r="AA85" s="36" t="n">
        <f aca="false">COS(Y85)*COS(W85)</f>
        <v>0.0214131837105537</v>
      </c>
      <c r="AB85" s="36" t="n">
        <f aca="false">COS(Y85)*SIN(W85)</f>
        <v>-0.998264533924652</v>
      </c>
      <c r="AC85" s="36" t="n">
        <f aca="false">SIN(Y85)</f>
        <v>-0.0548579608769329</v>
      </c>
      <c r="AD85" s="36" t="n">
        <f aca="false">COS($A$10*(23.4393-46.815*L85/3600))*AB85-SIN($A$10*(23.4393-46.815*L85/3600))*AC85</f>
        <v>-0.894091060297481</v>
      </c>
      <c r="AE85" s="36" t="n">
        <f aca="false">SIN($A$10*(23.4393-46.815*L85/3600))*AB85+COS($A$10*(23.4393-46.815*L85/3600))*AC85</f>
        <v>-0.447373056251161</v>
      </c>
      <c r="AF85" s="36" t="n">
        <f aca="false">SQRT(1-AE85*AE85)</f>
        <v>0.894347442854563</v>
      </c>
      <c r="AG85" s="35" t="n">
        <f aca="false">ATAN(AE85/AF85)/$A$10</f>
        <v>-26.5752664695411</v>
      </c>
      <c r="AH85" s="36" t="n">
        <f aca="false">IF(24*ATAN(AD85/(AA85+AF85))/PI()&gt;0,24*ATAN(AD85/(AA85+AF85))/PI(),24*ATAN(AD85/(AA85+AF85))/PI()+24)</f>
        <v>18.091463506928</v>
      </c>
      <c r="AI85" s="63" t="n">
        <f aca="false">IF(M85-15*AH85&gt;0,M85-15*AH85,360+M85-15*AH85)</f>
        <v>286.066828156939</v>
      </c>
      <c r="AJ85" s="32" t="n">
        <f aca="false">0.950724+0.051818*COS(P85)+0.009531*COS(2*R85-P85)+0.007843*COS(2*R85)+0.002824*COS(2*P85)+0.000857*COS(2*R85+P85)+0.000533*COS(2*R85-Q85)*(1-0.002495*(J85-2415020)/36525)+0.000401*COS(2*R85-Q85-P85)*(1-0.002495*(J85-2415020)/36525)+0.00032*COS(P85-Q85)*(1-0.002495*(J85-2415020)/36525)-0.000271*COS(R85)</f>
        <v>0.987089833232274</v>
      </c>
      <c r="AK85" s="36" t="n">
        <f aca="false">ASIN(COS($A$10*$B$5)*COS($A$10*AG85)*COS($A$10*AI85)+SIN($A$10*$B$5)*SIN($A$10*AG85))/$A$10</f>
        <v>-10.5798733748356</v>
      </c>
      <c r="AL85" s="32" t="n">
        <f aca="false">ASIN((0.9983271+0.0016764*COS($A$10*2*$B$5))*COS($A$10*AK85)*SIN($A$10*AJ85))/$A$10</f>
        <v>0.968401725710763</v>
      </c>
      <c r="AM85" s="32" t="n">
        <f aca="false">AK85-AL85</f>
        <v>-11.5482751005464</v>
      </c>
      <c r="AN85" s="35" t="n">
        <f aca="false"> MOD(280.4664567 + 360007.6982779*L85/10 + 0.03032028*L85^2/100 + L85^3/49931000,360)</f>
        <v>2.44456468237513</v>
      </c>
      <c r="AO85" s="32" t="n">
        <f aca="false"> AN85 + (1.9146 - 0.004817*L85 - 0.000014*L85^2)*SIN(Q85)+ (0.019993 - 0.000101*L85)*SIN(2*Q85)+ 0.00029*SIN(3*Q85)</f>
        <v>4.33087710704622</v>
      </c>
      <c r="AP85" s="32" t="n">
        <f aca="false">ACOS(COS(W85-$A$10*AO85)*COS(Y85))/$A$10</f>
        <v>93.097371861388</v>
      </c>
      <c r="AQ85" s="34" t="n">
        <f aca="false">180 - AP85 -0.1468*(1-0.0549*SIN(Q85))*SIN($A$10*AP85)/(1-0.0167*SIN($A$10*AO85))</f>
        <v>86.7637704624292</v>
      </c>
      <c r="AR85" s="64" t="n">
        <f aca="false">SIN($A$10*AI85)</f>
        <v>-0.960939546629648</v>
      </c>
      <c r="AS85" s="64" t="n">
        <f aca="false">COS($A$10*AI85)*SIN($A$10*$B$5) - TAN($A$10*AG85)*COS($A$10*$B$5)</f>
        <v>0.533546272110857</v>
      </c>
      <c r="AT85" s="24" t="n">
        <f aca="false">IF(OR(AND(AR85*AS85&gt;0), AND(AR85&lt;0,AS85&gt;0)), MOD(ATAN2(AS85,AR85)/$A$10+360,360),  ATAN2(AS85,AR85)/$A$10)</f>
        <v>299.040521984996</v>
      </c>
      <c r="AU85" s="39" t="n">
        <f aca="false"> 385000.56 + (-20905355*COS(P85) - 3699111*COS(2*R85-P85) - 2955968*COS(2*R85) - 569925*COS(2*P85) + (1-0.002516*L85)*48888*COS(Q85) - 3149*COS(2*S85)  +246158*COS(2*R85-2*P85) -(1 - 0.002516*L85)*152138*COS(2*R85-Q85-P85) -170733*COS(2*R85+P85) -(1 - 0.002516*L85)*204586*COS(2*R85-Q85) -(1 - 0.002516*L85)*129620*COS(Q85-P85)  + 108743*COS(R85) +(1-0.002516*L85)*104755*COS(Q85+P85) +10321*COS(2*R85-2*S85) +79661*COS(P85-2*S85) -34782*COS(4*R85-P85) -23210*COS(3*P85)  -21636*COS(4*R85-2*P85) +(1 - 0.002516*L85)*24208*COS(2*R85+Q85-P85) +(1 - 0.002516*L85)*30824*COS(2*R85+Q85) -8379*COS(R85-P85) -(1 - 0.002516*L85)*16675*COS(R85+Q85)  -(1 - 0.002516*L85)*12831*COS(2*R85-Q85+P85) -10445*COS(2*R85+2*P85) -11650*COS(4*R85) +14403*COS(2*R85-3*P85) -(1-0.002516*L85)*7003*COS(Q85-2*P85)  + (1 - 0.002516*L85)*10056*COS(2*R85-Q85-2*P85) +6322*COS(R85+P85) -(1 - 0.002516*L85)*(1-0.002516*L85)*9884*COS(2*R85-2*Q85) +(1-0.002516*L85)*5751*COS(Q85+2*P85) - (1-0.002516*L85)^2*4950*COS(2*R85-2*Q85-P85)  +4130*COS(2*R85+P85-2*S85) -(1-0.002516*L85)*3958*COS(4*R85-Q85-P85) +3258*COS(3*R85-P85) +(1 - 0.002516*L85)*2616*COS(2*R85+Q85+P85) -(1 - 0.002516*L85)*1897*COS(4*R85-Q85-2*P85)  -(1-0.002516*L85)^2*2117*COS(2*Q85-P85) +(1-0.002516*L85)^2*2354*COS(2*R85+2*Q85-P85) -1423*COS(4*R85+P85) -1117*COS(4*P85) -(1-0.002516*L85)*1571*COS(4*R85-Q85)  -1739*COS(R85-2*P85) -4421*COS(2*P85-2*S85) +(1-0.002516*L85)^2*1165*COS(2*Q85+P85) +8752*COS(2*R85-P85-2*S85))/1000</f>
        <v>370029.162215741</v>
      </c>
      <c r="AV85" s="54" t="n">
        <f aca="false">ATAN(0.99664719*TAN($A$10*input!$E$2))</f>
        <v>0.871010436227447</v>
      </c>
      <c r="AW85" s="54" t="n">
        <f aca="false">COS(AV85)</f>
        <v>0.644053912545845</v>
      </c>
      <c r="AX85" s="54" t="n">
        <f aca="false">0.99664719*SIN(AV85)</f>
        <v>0.762415269897027</v>
      </c>
      <c r="AY85" s="54" t="n">
        <f aca="false">6378.14/AU85</f>
        <v>0.0172368576622653</v>
      </c>
      <c r="AZ85" s="55" t="n">
        <f aca="false">M85-15*AH85</f>
        <v>-73.9331718430611</v>
      </c>
      <c r="BA85" s="56" t="n">
        <f aca="false">COS($A$10*AG85)*SIN($A$10*AZ85)</f>
        <v>-0.859413826266049</v>
      </c>
      <c r="BB85" s="56" t="n">
        <f aca="false">COS($A$10*AG85)*COS($A$10*AZ85)-AW85*AY85</f>
        <v>0.236416662533359</v>
      </c>
      <c r="BC85" s="56" t="n">
        <f aca="false">SIN($A$10*AG85)-AX85*AY85</f>
        <v>-0.460514699737914</v>
      </c>
      <c r="BD85" s="57" t="n">
        <f aca="false">SQRT(BA85^2+BB85^2+BC85^2)</f>
        <v>1.00327401629633</v>
      </c>
      <c r="BE85" s="58" t="n">
        <f aca="false">AU85*BD85</f>
        <v>371240.643722952</v>
      </c>
    </row>
    <row r="86" customFormat="false" ht="15" hidden="false" customHeight="false" outlineLevel="0" collapsed="false">
      <c r="D86" s="41" t="n">
        <f aca="false">K86-INT(275*E86/9)+IF($A$8="common year",2,1)*INT((E86+9)/12)+30</f>
        <v>26</v>
      </c>
      <c r="E86" s="41" t="n">
        <f aca="false">IF(K86&lt;32,1,INT(9*(IF($A$8="common year",2,1)+K86)/275+0.98))</f>
        <v>3</v>
      </c>
      <c r="F86" s="42" t="n">
        <f aca="false">AM86</f>
        <v>-20.1933348529522</v>
      </c>
      <c r="G86" s="60" t="n">
        <f aca="false">F86+1.02/(TAN($A$10*(F86+10.3/(F86+5.11)))*60)</f>
        <v>-20.2379089834018</v>
      </c>
      <c r="H86" s="43" t="n">
        <f aca="false">100*(1+COS($A$10*AQ86))/2</f>
        <v>41.4414952639831</v>
      </c>
      <c r="I86" s="43" t="n">
        <f aca="false">IF(AI86&gt;180,AT86-180,AT86+180)</f>
        <v>108.697311197911</v>
      </c>
      <c r="J86" s="61" t="n">
        <f aca="false">$J$2+K85</f>
        <v>2459664.5</v>
      </c>
      <c r="K86" s="21" t="n">
        <v>85</v>
      </c>
      <c r="L86" s="62" t="n">
        <f aca="false">(J86-2451545)/36525</f>
        <v>0.222299794661191</v>
      </c>
      <c r="M86" s="63" t="n">
        <f aca="false">MOD(280.46061837+360.98564736629*(J86-2451545)+0.000387933*L86^2-L86^3/38710000+$B$7,360)</f>
        <v>198.424428131431</v>
      </c>
      <c r="N86" s="30" t="n">
        <f aca="false">0.606433+1336.855225*L86 - INT(0.606433+1336.855225*L86)</f>
        <v>0.789075009240207</v>
      </c>
      <c r="O86" s="35" t="n">
        <f aca="false">22640*SIN(P86)-4586*SIN(P86-2*R86)+2370*SIN(2*R86)+769*SIN(2*P86)-668*SIN(Q86)-412*SIN(2*S86)-212*SIN(2*P86-2*R86)-206*SIN(P86+Q86-2*R86)+192*SIN(P86+2*R86)-165*SIN(Q86-2*R86)-125*SIN(R86)-110*SIN(P86+Q86)+148*SIN(P86-Q86)-55*SIN(2*S86-2*R86)</f>
        <v>4582.05274230107</v>
      </c>
      <c r="P86" s="32" t="n">
        <f aca="false">2*PI()*(0.374897+1325.55241*L86 - INT(0.374897+1325.55241*L86))</f>
        <v>0.282275591156756</v>
      </c>
      <c r="Q86" s="36" t="n">
        <f aca="false">2*PI()*(0.993133+99.997361*L86 - INT(0.993133+99.997361*L86))</f>
        <v>1.3981709435974</v>
      </c>
      <c r="R86" s="36" t="n">
        <f aca="false">2*PI()*(0.827361+1236.853086*L86 - INT(0.827361+1236.853086*L86))</f>
        <v>4.898044815424</v>
      </c>
      <c r="S86" s="36" t="n">
        <f aca="false">2*PI()*(0.259086+1342.227825*L86 - INT(0.259086+1342.227825*L86))</f>
        <v>3.9964569976925</v>
      </c>
      <c r="T86" s="36" t="n">
        <f aca="false">S86+(O86+412*SIN(2*S86)+541*SIN(Q86))/206264.8062</f>
        <v>4.02323346144717</v>
      </c>
      <c r="U86" s="36" t="n">
        <f aca="false">S86-2*R86</f>
        <v>-5.79963263315549</v>
      </c>
      <c r="V86" s="34" t="n">
        <f aca="false">-526*SIN(U86)+44*SIN(P86+U86)-31*SIN(-P86+U86)-23*SIN(Q86+U86)+11*SIN(-Q86+U86)-25*SIN(-2*P86+S86)+21*SIN(-P86+S86)</f>
        <v>-255.085960859291</v>
      </c>
      <c r="W86" s="36" t="n">
        <f aca="false">2*PI()*(N86+O86/1296000-INT(N86+O86/1296000))</f>
        <v>4.980118922891</v>
      </c>
      <c r="X86" s="35" t="n">
        <f aca="false">W86*180/PI()</f>
        <v>285.339795754892</v>
      </c>
      <c r="Y86" s="36" t="n">
        <f aca="false">(18520*SIN(T86)+V86)/206264.8062</f>
        <v>-0.0705331783920277</v>
      </c>
      <c r="Z86" s="36" t="n">
        <f aca="false">Y86*180/PI()</f>
        <v>-4.04125343750652</v>
      </c>
      <c r="AA86" s="36" t="n">
        <f aca="false">COS(Y86)*COS(W86)</f>
        <v>0.263885167535876</v>
      </c>
      <c r="AB86" s="36" t="n">
        <f aca="false">COS(Y86)*SIN(W86)</f>
        <v>-0.961976056668624</v>
      </c>
      <c r="AC86" s="36" t="n">
        <f aca="false">SIN(Y86)</f>
        <v>-0.0704747100089654</v>
      </c>
      <c r="AD86" s="36" t="n">
        <f aca="false">COS($A$10*(23.4393-46.815*L86/3600))*AB86-SIN($A$10*(23.4393-46.815*L86/3600))*AC86</f>
        <v>-0.854585044766652</v>
      </c>
      <c r="AE86" s="36" t="n">
        <f aca="false">SIN($A$10*(23.4393-46.815*L86/3600))*AB86+COS($A$10*(23.4393-46.815*L86/3600))*AC86</f>
        <v>-0.447268397738697</v>
      </c>
      <c r="AF86" s="36" t="n">
        <f aca="false">SQRT(1-AE86*AE86)</f>
        <v>0.894399787781873</v>
      </c>
      <c r="AG86" s="35" t="n">
        <f aca="false">ATAN(AE86/AF86)/$A$10</f>
        <v>-26.5685617871301</v>
      </c>
      <c r="AH86" s="36" t="n">
        <f aca="false">IF(24*ATAN(AD86/(AA86+AF86))/PI()&gt;0,24*ATAN(AD86/(AA86+AF86))/PI(),24*ATAN(AD86/(AA86+AF86))/PI()+24)</f>
        <v>19.144002230341</v>
      </c>
      <c r="AI86" s="63" t="n">
        <f aca="false">IF(M86-15*AH86&gt;0,M86-15*AH86,360+M86-15*AH86)</f>
        <v>271.264394676316</v>
      </c>
      <c r="AJ86" s="32" t="n">
        <f aca="false">0.950724+0.051818*COS(P86)+0.009531*COS(2*R86-P86)+0.007843*COS(2*R86)+0.002824*COS(2*P86)+0.000857*COS(2*R86+P86)+0.000533*COS(2*R86-Q86)*(1-0.002495*(J86-2415020)/36525)+0.000401*COS(2*R86-Q86-P86)*(1-0.002495*(J86-2415020)/36525)+0.00032*COS(P86-Q86)*(1-0.002495*(J86-2415020)/36525)-0.000271*COS(R86)</f>
        <v>0.985106647553985</v>
      </c>
      <c r="AK86" s="36" t="n">
        <f aca="false">ASIN(COS($A$10*$B$5)*COS($A$10*AG86)*COS($A$10*AI86)+SIN($A$10*$B$5)*SIN($A$10*AG86))/$A$10</f>
        <v>-19.2652243630675</v>
      </c>
      <c r="AL86" s="32" t="n">
        <f aca="false">ASIN((0.9983271+0.0016764*COS($A$10*2*$B$5))*COS($A$10*AK86)*SIN($A$10*AJ86))/$A$10</f>
        <v>0.928110489884709</v>
      </c>
      <c r="AM86" s="32" t="n">
        <f aca="false">AK86-AL86</f>
        <v>-20.1933348529522</v>
      </c>
      <c r="AN86" s="35" t="n">
        <f aca="false"> MOD(280.4664567 + 360007.6982779*L86/10 + 0.03032028*L86^2/100 + L86^3/49931000,360)</f>
        <v>3.43021204616889</v>
      </c>
      <c r="AO86" s="32" t="n">
        <f aca="false"> AN86 + (1.9146 - 0.004817*L86 - 0.000014*L86^2)*SIN(Q86)+ (0.019993 - 0.000101*L86)*SIN(2*Q86)+ 0.00029*SIN(3*Q86)</f>
        <v>5.32180686184017</v>
      </c>
      <c r="AP86" s="32" t="n">
        <f aca="false">ACOS(COS(W86-$A$10*AO86)*COS(Y86))/$A$10</f>
        <v>80.0071761734233</v>
      </c>
      <c r="AQ86" s="34" t="n">
        <f aca="false">180 - AP86 -0.1468*(1-0.0549*SIN(Q86))*SIN($A$10*AP86)/(1-0.0167*SIN($A$10*AO86))</f>
        <v>99.8558577968983</v>
      </c>
      <c r="AR86" s="64" t="n">
        <f aca="false">SIN($A$10*AI86)</f>
        <v>-0.999756514876434</v>
      </c>
      <c r="AS86" s="64" t="n">
        <f aca="false">COS($A$10*AI86)*SIN($A$10*$B$5) - TAN($A$10*AG86)*COS($A$10*$B$5)</f>
        <v>0.338346619135963</v>
      </c>
      <c r="AT86" s="24" t="n">
        <f aca="false">IF(OR(AND(AR86*AS86&gt;0), AND(AR86&lt;0,AS86&gt;0)), MOD(ATAN2(AS86,AR86)/$A$10+360,360),  ATAN2(AS86,AR86)/$A$10)</f>
        <v>288.697311197911</v>
      </c>
      <c r="AU86" s="39" t="n">
        <f aca="false"> 385000.56 + (-20905355*COS(P86) - 3699111*COS(2*R86-P86) - 2955968*COS(2*R86) - 569925*COS(2*P86) + (1-0.002516*L86)*48888*COS(Q86) - 3149*COS(2*S86)  +246158*COS(2*R86-2*P86) -(1 - 0.002516*L86)*152138*COS(2*R86-Q86-P86) -170733*COS(2*R86+P86) -(1 - 0.002516*L86)*204586*COS(2*R86-Q86) -(1 - 0.002516*L86)*129620*COS(Q86-P86)  + 108743*COS(R86) +(1-0.002516*L86)*104755*COS(Q86+P86) +10321*COS(2*R86-2*S86) +79661*COS(P86-2*S86) -34782*COS(4*R86-P86) -23210*COS(3*P86)  -21636*COS(4*R86-2*P86) +(1 - 0.002516*L86)*24208*COS(2*R86+Q86-P86) +(1 - 0.002516*L86)*30824*COS(2*R86+Q86) -8379*COS(R86-P86) -(1 - 0.002516*L86)*16675*COS(R86+Q86)  -(1 - 0.002516*L86)*12831*COS(2*R86-Q86+P86) -10445*COS(2*R86+2*P86) -11650*COS(4*R86) +14403*COS(2*R86-3*P86) -(1-0.002516*L86)*7003*COS(Q86-2*P86)  + (1 - 0.002516*L86)*10056*COS(2*R86-Q86-2*P86) +6322*COS(R86+P86) -(1 - 0.002516*L86)*(1-0.002516*L86)*9884*COS(2*R86-2*Q86) +(1-0.002516*L86)*5751*COS(Q86+2*P86) - (1-0.002516*L86)^2*4950*COS(2*R86-2*Q86-P86)  +4130*COS(2*R86+P86-2*S86) -(1-0.002516*L86)*3958*COS(4*R86-Q86-P86) +3258*COS(3*R86-P86) +(1 - 0.002516*L86)*2616*COS(2*R86+Q86+P86) -(1 - 0.002516*L86)*1897*COS(4*R86-Q86-2*P86)  -(1-0.002516*L86)^2*2117*COS(2*Q86-P86) +(1-0.002516*L86)^2*2354*COS(2*R86+2*Q86-P86) -1423*COS(4*R86+P86) -1117*COS(4*P86) -(1-0.002516*L86)*1571*COS(4*R86-Q86)  -1739*COS(R86-2*P86) -4421*COS(2*P86-2*S86) +(1-0.002516*L86)^2*1165*COS(2*Q86+P86) +8752*COS(2*R86-P86-2*S86))/1000</f>
        <v>370782.458299262</v>
      </c>
      <c r="AV86" s="54" t="n">
        <f aca="false">ATAN(0.99664719*TAN($A$10*input!$E$2))</f>
        <v>0.871010436227447</v>
      </c>
      <c r="AW86" s="54" t="n">
        <f aca="false">COS(AV86)</f>
        <v>0.644053912545845</v>
      </c>
      <c r="AX86" s="54" t="n">
        <f aca="false">0.99664719*SIN(AV86)</f>
        <v>0.762415269897027</v>
      </c>
      <c r="AY86" s="54" t="n">
        <f aca="false">6378.14/AU86</f>
        <v>0.0172018385908973</v>
      </c>
      <c r="AZ86" s="55" t="n">
        <f aca="false">M86-15*AH86</f>
        <v>-88.7356053236837</v>
      </c>
      <c r="BA86" s="56" t="n">
        <f aca="false">COS($A$10*AG86)*SIN($A$10*AZ86)</f>
        <v>-0.894182014739027</v>
      </c>
      <c r="BB86" s="56" t="n">
        <f aca="false">COS($A$10*AG86)*COS($A$10*AZ86)-AW86*AY86</f>
        <v>0.00865696708666917</v>
      </c>
      <c r="BC86" s="56" t="n">
        <f aca="false">SIN($A$10*AG86)-AX86*AY86</f>
        <v>-0.460383342150701</v>
      </c>
      <c r="BD86" s="57" t="n">
        <f aca="false">SQRT(BA86^2+BB86^2+BC86^2)</f>
        <v>1.00577792792034</v>
      </c>
      <c r="BE86" s="58" t="n">
        <f aca="false">AU86*BD86</f>
        <v>372924.812617442</v>
      </c>
    </row>
    <row r="87" customFormat="false" ht="15" hidden="false" customHeight="false" outlineLevel="0" collapsed="false">
      <c r="D87" s="41" t="n">
        <f aca="false">K87-INT(275*E87/9)+IF($A$8="common year",2,1)*INT((E87+9)/12)+30</f>
        <v>27</v>
      </c>
      <c r="E87" s="41" t="n">
        <f aca="false">IF(K87&lt;32,1,INT(9*(IF($A$8="common year",2,1)+K87)/275+0.98))</f>
        <v>3</v>
      </c>
      <c r="F87" s="42" t="n">
        <f aca="false">AM87</f>
        <v>-27.971843770369</v>
      </c>
      <c r="G87" s="60" t="n">
        <f aca="false">F87+1.02/(TAN($A$10*(F87+10.3/(F87+5.11)))*60)</f>
        <v>-28.0032552855195</v>
      </c>
      <c r="H87" s="43" t="n">
        <f aca="false">100*(1+COS($A$10*AQ87))/2</f>
        <v>30.5498341506015</v>
      </c>
      <c r="I87" s="43" t="n">
        <f aca="false">IF(AI87&gt;180,AT87-180,AT87+180)</f>
        <v>97.1650356022064</v>
      </c>
      <c r="J87" s="61" t="n">
        <f aca="false">$J$2+K86</f>
        <v>2459665.5</v>
      </c>
      <c r="K87" s="21" t="n">
        <v>86</v>
      </c>
      <c r="L87" s="62" t="n">
        <f aca="false">(J87-2451545)/36525</f>
        <v>0.222327173169062</v>
      </c>
      <c r="M87" s="63" t="n">
        <f aca="false">MOD(280.46061837+360.98564736629*(J87-2451545)+0.000387933*L87^2-L87^3/38710000+$B$7,360)</f>
        <v>199.410075502936</v>
      </c>
      <c r="N87" s="30" t="n">
        <f aca="false">0.606433+1336.855225*L87 - INT(0.606433+1336.855225*L87)</f>
        <v>0.825676110540712</v>
      </c>
      <c r="O87" s="35" t="n">
        <f aca="false">22640*SIN(P87)-4586*SIN(P87-2*R87)+2370*SIN(2*R87)+769*SIN(2*P87)-668*SIN(Q87)-412*SIN(2*S87)-212*SIN(2*P87-2*R87)-206*SIN(P87+Q87-2*R87)+192*SIN(P87+2*R87)-165*SIN(Q87-2*R87)-125*SIN(R87)-110*SIN(P87+Q87)+148*SIN(P87-Q87)-55*SIN(2*S87-2*R87)</f>
        <v>7816.06170743467</v>
      </c>
      <c r="P87" s="32" t="n">
        <f aca="false">2*PI()*(0.374897+1325.55241*L87 - INT(0.374897+1325.55241*L87))</f>
        <v>0.510302734932574</v>
      </c>
      <c r="Q87" s="36" t="n">
        <f aca="false">2*PI()*(0.993133+99.997361*L87 - INT(0.993133+99.997361*L87))</f>
        <v>1.41537291346438</v>
      </c>
      <c r="R87" s="36" t="n">
        <f aca="false">2*PI()*(0.827361+1236.853086*L87 - INT(0.827361+1236.853086*L87))</f>
        <v>5.11081352554302</v>
      </c>
      <c r="S87" s="36" t="n">
        <f aca="false">2*PI()*(0.259086+1342.227825*L87 - INT(0.259086+1342.227825*L87))</f>
        <v>4.2273527170335</v>
      </c>
      <c r="T87" s="36" t="n">
        <f aca="false">S87+(O87+412*SIN(2*S87)+541*SIN(Q87))/206264.8062</f>
        <v>4.26948501531146</v>
      </c>
      <c r="U87" s="36" t="n">
        <f aca="false">S87-2*R87</f>
        <v>-5.99427433405254</v>
      </c>
      <c r="V87" s="34" t="n">
        <f aca="false">-526*SIN(U87)+44*SIN(P87+U87)-31*SIN(-P87+U87)-23*SIN(Q87+U87)+11*SIN(-Q87+U87)-25*SIN(-2*P87+S87)+21*SIN(-P87+S87)</f>
        <v>-154.0432309554</v>
      </c>
      <c r="W87" s="36" t="n">
        <f aca="false">2*PI()*(N87+O87/1296000-INT(N87+O87/1296000))</f>
        <v>5.2257693427202</v>
      </c>
      <c r="X87" s="35" t="n">
        <f aca="false">W87*180/PI()</f>
        <v>299.414528046722</v>
      </c>
      <c r="Y87" s="36" t="n">
        <f aca="false">(18520*SIN(T87)+V87)/206264.8062</f>
        <v>-0.081870805255089</v>
      </c>
      <c r="Z87" s="36" t="n">
        <f aca="false">Y87*180/PI()</f>
        <v>-4.69085160645408</v>
      </c>
      <c r="AA87" s="36" t="n">
        <f aca="false">COS(Y87)*COS(W87)</f>
        <v>0.489479601748218</v>
      </c>
      <c r="AB87" s="36" t="n">
        <f aca="false">COS(Y87)*SIN(W87)</f>
        <v>-0.868171557534921</v>
      </c>
      <c r="AC87" s="36" t="n">
        <f aca="false">SIN(Y87)</f>
        <v>-0.0817793749046505</v>
      </c>
      <c r="AD87" s="36" t="n">
        <f aca="false">COS($A$10*(23.4393-46.815*L87/3600))*AB87-SIN($A$10*(23.4393-46.815*L87/3600))*AC87</f>
        <v>-0.764023009610428</v>
      </c>
      <c r="AE87" s="36" t="n">
        <f aca="false">SIN($A$10*(23.4393-46.815*L87/3600))*AB87+COS($A$10*(23.4393-46.815*L87/3600))*AC87</f>
        <v>-0.420331488539975</v>
      </c>
      <c r="AF87" s="36" t="n">
        <f aca="false">SQRT(1-AE87*AE87)</f>
        <v>0.907370618734026</v>
      </c>
      <c r="AG87" s="35" t="n">
        <f aca="false">ATAN(AE87/AF87)/$A$10</f>
        <v>-24.855517512633</v>
      </c>
      <c r="AH87" s="36" t="n">
        <f aca="false">IF(24*ATAN(AD87/(AA87+AF87))/PI()&gt;0,24*ATAN(AD87/(AA87+AF87))/PI(),24*ATAN(AD87/(AA87+AF87))/PI()+24)</f>
        <v>20.1764063287311</v>
      </c>
      <c r="AI87" s="63" t="n">
        <f aca="false">IF(M87-15*AH87&gt;0,M87-15*AH87,360+M87-15*AH87)</f>
        <v>256.763980571969</v>
      </c>
      <c r="AJ87" s="32" t="n">
        <f aca="false">0.950724+0.051818*COS(P87)+0.009531*COS(2*R87-P87)+0.007843*COS(2*R87)+0.002824*COS(2*P87)+0.000857*COS(2*R87+P87)+0.000533*COS(2*R87-Q87)*(1-0.002495*(J87-2415020)/36525)+0.000401*COS(2*R87-Q87-P87)*(1-0.002495*(J87-2415020)/36525)+0.00032*COS(P87-Q87)*(1-0.002495*(J87-2415020)/36525)-0.000271*COS(R87)</f>
        <v>0.982057033685501</v>
      </c>
      <c r="AK87" s="36" t="n">
        <f aca="false">ASIN(COS($A$10*$B$5)*COS($A$10*AG87)*COS($A$10*AI87)+SIN($A$10*$B$5)*SIN($A$10*AG87))/$A$10</f>
        <v>-27.0993247715509</v>
      </c>
      <c r="AL87" s="32" t="n">
        <f aca="false">ASIN((0.9983271+0.0016764*COS($A$10*2*$B$5))*COS($A$10*AK87)*SIN($A$10*AJ87))/$A$10</f>
        <v>0.872518998818088</v>
      </c>
      <c r="AM87" s="32" t="n">
        <f aca="false">AK87-AL87</f>
        <v>-27.971843770369</v>
      </c>
      <c r="AN87" s="35" t="n">
        <f aca="false"> MOD(280.4664567 + 360007.6982779*L87/10 + 0.03032028*L87^2/100 + L87^3/49931000,360)</f>
        <v>4.41585940996447</v>
      </c>
      <c r="AO87" s="32" t="n">
        <f aca="false"> AN87 + (1.9146 - 0.004817*L87 - 0.000014*L87^2)*SIN(Q87)+ (0.019993 - 0.000101*L87)*SIN(2*Q87)+ 0.00029*SIN(3*Q87)</f>
        <v>6.31217148947469</v>
      </c>
      <c r="AP87" s="32" t="n">
        <f aca="false">ACOS(COS(W87-$A$10*AO87)*COS(Y87))/$A$10</f>
        <v>66.9794864067369</v>
      </c>
      <c r="AQ87" s="34" t="n">
        <f aca="false">180 - AP87 -0.1468*(1-0.0549*SIN(Q87))*SIN($A$10*AP87)/(1-0.0167*SIN($A$10*AO87))</f>
        <v>112.89249708114</v>
      </c>
      <c r="AR87" s="64" t="n">
        <f aca="false">SIN($A$10*AI87)</f>
        <v>-0.973435155985251</v>
      </c>
      <c r="AS87" s="64" t="n">
        <f aca="false">COS($A$10*AI87)*SIN($A$10*$B$5) - TAN($A$10*AG87)*COS($A$10*$B$5)</f>
        <v>0.12236999159475</v>
      </c>
      <c r="AT87" s="24" t="n">
        <f aca="false">IF(OR(AND(AR87*AS87&gt;0), AND(AR87&lt;0,AS87&gt;0)), MOD(ATAN2(AS87,AR87)/$A$10+360,360),  ATAN2(AS87,AR87)/$A$10)</f>
        <v>277.165035602206</v>
      </c>
      <c r="AU87" s="39" t="n">
        <f aca="false"> 385000.56 + (-20905355*COS(P87) - 3699111*COS(2*R87-P87) - 2955968*COS(2*R87) - 569925*COS(2*P87) + (1-0.002516*L87)*48888*COS(Q87) - 3149*COS(2*S87)  +246158*COS(2*R87-2*P87) -(1 - 0.002516*L87)*152138*COS(2*R87-Q87-P87) -170733*COS(2*R87+P87) -(1 - 0.002516*L87)*204586*COS(2*R87-Q87) -(1 - 0.002516*L87)*129620*COS(Q87-P87)  + 108743*COS(R87) +(1-0.002516*L87)*104755*COS(Q87+P87) +10321*COS(2*R87-2*S87) +79661*COS(P87-2*S87) -34782*COS(4*R87-P87) -23210*COS(3*P87)  -21636*COS(4*R87-2*P87) +(1 - 0.002516*L87)*24208*COS(2*R87+Q87-P87) +(1 - 0.002516*L87)*30824*COS(2*R87+Q87) -8379*COS(R87-P87) -(1 - 0.002516*L87)*16675*COS(R87+Q87)  -(1 - 0.002516*L87)*12831*COS(2*R87-Q87+P87) -10445*COS(2*R87+2*P87) -11650*COS(4*R87) +14403*COS(2*R87-3*P87) -(1-0.002516*L87)*7003*COS(Q87-2*P87)  + (1 - 0.002516*L87)*10056*COS(2*R87-Q87-2*P87) +6322*COS(R87+P87) -(1 - 0.002516*L87)*(1-0.002516*L87)*9884*COS(2*R87-2*Q87) +(1-0.002516*L87)*5751*COS(Q87+2*P87) - (1-0.002516*L87)^2*4950*COS(2*R87-2*Q87-P87)  +4130*COS(2*R87+P87-2*S87) -(1-0.002516*L87)*3958*COS(4*R87-Q87-P87) +3258*COS(3*R87-P87) +(1 - 0.002516*L87)*2616*COS(2*R87+Q87+P87) -(1 - 0.002516*L87)*1897*COS(4*R87-Q87-2*P87)  -(1-0.002516*L87)^2*2117*COS(2*Q87-P87) +(1-0.002516*L87)^2*2354*COS(2*R87+2*Q87-P87) -1423*COS(4*R87+P87) -1117*COS(4*P87) -(1-0.002516*L87)*1571*COS(4*R87-Q87)  -1739*COS(R87-2*P87) -4421*COS(2*P87-2*S87) +(1-0.002516*L87)^2*1165*COS(2*Q87+P87) +8752*COS(2*R87-P87-2*S87))/1000</f>
        <v>371991.027881143</v>
      </c>
      <c r="AV87" s="54" t="n">
        <f aca="false">ATAN(0.99664719*TAN($A$10*input!$E$2))</f>
        <v>0.871010436227447</v>
      </c>
      <c r="AW87" s="54" t="n">
        <f aca="false">COS(AV87)</f>
        <v>0.644053912545845</v>
      </c>
      <c r="AX87" s="54" t="n">
        <f aca="false">0.99664719*SIN(AV87)</f>
        <v>0.762415269897027</v>
      </c>
      <c r="AY87" s="54" t="n">
        <f aca="false">6378.14/AU87</f>
        <v>0.0171459511707307</v>
      </c>
      <c r="AZ87" s="55" t="n">
        <f aca="false">M87-15*AH87</f>
        <v>-103.236019428031</v>
      </c>
      <c r="BA87" s="56" t="n">
        <f aca="false">COS($A$10*AG87)*SIN($A$10*AZ87)</f>
        <v>-0.88326645978379</v>
      </c>
      <c r="BB87" s="56" t="n">
        <f aca="false">COS($A$10*AG87)*COS($A$10*AZ87)-AW87*AY87</f>
        <v>-0.218797100438302</v>
      </c>
      <c r="BC87" s="56" t="n">
        <f aca="false">SIN($A$10*AG87)-AX87*AY87</f>
        <v>-0.433403823529449</v>
      </c>
      <c r="BD87" s="57" t="n">
        <f aca="false">SQRT(BA87^2+BB87^2+BC87^2)</f>
        <v>1.00790410475855</v>
      </c>
      <c r="BE87" s="58" t="n">
        <f aca="false">AU87*BD87</f>
        <v>374931.283934758</v>
      </c>
    </row>
    <row r="88" customFormat="false" ht="15" hidden="false" customHeight="false" outlineLevel="0" collapsed="false">
      <c r="D88" s="41" t="n">
        <f aca="false">K88-INT(275*E88/9)+IF($A$8="common year",2,1)*INT((E88+9)/12)+30</f>
        <v>28</v>
      </c>
      <c r="E88" s="41" t="n">
        <f aca="false">IF(K88&lt;32,1,INT(9*(IF($A$8="common year",2,1)+K88)/275+0.98))</f>
        <v>3</v>
      </c>
      <c r="F88" s="42" t="n">
        <f aca="false">AM88</f>
        <v>-34.4608358414247</v>
      </c>
      <c r="G88" s="60" t="n">
        <f aca="false">F88+1.02/(TAN($A$10*(F88+10.3/(F88+5.11)))*60)</f>
        <v>-34.4852849238167</v>
      </c>
      <c r="H88" s="43" t="n">
        <f aca="false">100*(1+COS($A$10*AQ88))/2</f>
        <v>20.7163994338511</v>
      </c>
      <c r="I88" s="43" t="n">
        <f aca="false">IF(AI88&gt;180,AT88-180,AT88+180)</f>
        <v>84.0076607495955</v>
      </c>
      <c r="J88" s="61" t="n">
        <f aca="false">$J$2+K87</f>
        <v>2459666.5</v>
      </c>
      <c r="K88" s="21" t="n">
        <v>87</v>
      </c>
      <c r="L88" s="62" t="n">
        <f aca="false">(J88-2451545)/36525</f>
        <v>0.222354551676934</v>
      </c>
      <c r="M88" s="63" t="n">
        <f aca="false">MOD(280.46061837+360.98564736629*(J88-2451545)+0.000387933*L88^2-L88^3/38710000+$B$7,360)</f>
        <v>200.395722873975</v>
      </c>
      <c r="N88" s="30" t="n">
        <f aca="false">0.606433+1336.855225*L88 - INT(0.606433+1336.855225*L88)</f>
        <v>0.86227721184116</v>
      </c>
      <c r="O88" s="35" t="n">
        <f aca="false">22640*SIN(P88)-4586*SIN(P88-2*R88)+2370*SIN(2*R88)+769*SIN(2*P88)-668*SIN(Q88)-412*SIN(2*S88)-212*SIN(2*P88-2*R88)-206*SIN(P88+Q88-2*R88)+192*SIN(P88+2*R88)-165*SIN(Q88-2*R88)-125*SIN(R88)-110*SIN(P88+Q88)+148*SIN(P88-Q88)-55*SIN(2*S88-2*R88)</f>
        <v>10828.3322983329</v>
      </c>
      <c r="P88" s="32" t="n">
        <f aca="false">2*PI()*(0.374897+1325.55241*L88 - INT(0.374897+1325.55241*L88))</f>
        <v>0.738329878708392</v>
      </c>
      <c r="Q88" s="36" t="n">
        <f aca="false">2*PI()*(0.993133+99.997361*L88 - INT(0.993133+99.997361*L88))</f>
        <v>1.43257488333139</v>
      </c>
      <c r="R88" s="36" t="n">
        <f aca="false">2*PI()*(0.827361+1236.853086*L88 - INT(0.827361+1236.853086*L88))</f>
        <v>5.32358223566204</v>
      </c>
      <c r="S88" s="36" t="n">
        <f aca="false">2*PI()*(0.259086+1342.227825*L88 - INT(0.259086+1342.227825*L88))</f>
        <v>4.45824843637451</v>
      </c>
      <c r="T88" s="36" t="n">
        <f aca="false">S88+(O88+412*SIN(2*S88)+541*SIN(Q88))/206264.8062</f>
        <v>4.51431560287118</v>
      </c>
      <c r="U88" s="36" t="n">
        <f aca="false">S88-2*R88</f>
        <v>-6.18891603494958</v>
      </c>
      <c r="V88" s="34" t="n">
        <f aca="false">-526*SIN(U88)+44*SIN(P88+U88)-31*SIN(-P88+U88)-23*SIN(Q88+U88)+11*SIN(-Q88+U88)-25*SIN(-2*P88+S88)+21*SIN(-P88+S88)</f>
        <v>-47.4962760790812</v>
      </c>
      <c r="W88" s="36" t="n">
        <f aca="false">2*PI()*(N88+O88/1296000-INT(N88+O88/1296000))</f>
        <v>5.47034474457448</v>
      </c>
      <c r="X88" s="35" t="n">
        <f aca="false">W88*180/PI()</f>
        <v>313.427666345688</v>
      </c>
      <c r="Y88" s="36" t="n">
        <f aca="false">(18520*SIN(T88)+V88)/206264.8062</f>
        <v>-0.0882621939822568</v>
      </c>
      <c r="Z88" s="36" t="n">
        <f aca="false">Y88*180/PI()</f>
        <v>-5.05705120574829</v>
      </c>
      <c r="AA88" s="36" t="n">
        <f aca="false">COS(Y88)*COS(W88)</f>
        <v>0.684762362855585</v>
      </c>
      <c r="AB88" s="36" t="n">
        <f aca="false">COS(Y88)*SIN(W88)</f>
        <v>-0.723415855285856</v>
      </c>
      <c r="AC88" s="36" t="n">
        <f aca="false">SIN(Y88)</f>
        <v>-0.0881476417011258</v>
      </c>
      <c r="AD88" s="36" t="n">
        <f aca="false">COS($A$10*(23.4393-46.815*L88/3600))*AB88-SIN($A$10*(23.4393-46.815*L88/3600))*AC88</f>
        <v>-0.628676498130871</v>
      </c>
      <c r="AE88" s="36" t="n">
        <f aca="false">SIN($A$10*(23.4393-46.815*L88/3600))*AB88+COS($A$10*(23.4393-46.815*L88/3600))*AC88</f>
        <v>-0.368600552243673</v>
      </c>
      <c r="AF88" s="36" t="n">
        <f aca="false">SQRT(1-AE88*AE88)</f>
        <v>0.929587883357813</v>
      </c>
      <c r="AG88" s="35" t="n">
        <f aca="false">ATAN(AE88/AF88)/$A$10</f>
        <v>-21.6293355790138</v>
      </c>
      <c r="AH88" s="36" t="n">
        <f aca="false">IF(24*ATAN(AD88/(AA88+AF88))/PI()&gt;0,24*ATAN(AD88/(AA88+AF88))/PI(),24*ATAN(AD88/(AA88+AF88))/PI()+24)</f>
        <v>21.1630088459719</v>
      </c>
      <c r="AI88" s="63" t="n">
        <f aca="false">IF(M88-15*AH88&gt;0,M88-15*AH88,360+M88-15*AH88)</f>
        <v>242.950590184396</v>
      </c>
      <c r="AJ88" s="32" t="n">
        <f aca="false">0.950724+0.051818*COS(P88)+0.009531*COS(2*R88-P88)+0.007843*COS(2*R88)+0.002824*COS(2*P88)+0.000857*COS(2*R88+P88)+0.000533*COS(2*R88-Q88)*(1-0.002495*(J88-2415020)/36525)+0.000401*COS(2*R88-Q88-P88)*(1-0.002495*(J88-2415020)/36525)+0.00032*COS(P88-Q88)*(1-0.002495*(J88-2415020)/36525)-0.000271*COS(R88)</f>
        <v>0.977862783606521</v>
      </c>
      <c r="AK88" s="36" t="n">
        <f aca="false">ASIN(COS($A$10*$B$5)*COS($A$10*AG88)*COS($A$10*AI88)+SIN($A$10*$B$5)*SIN($A$10*AG88))/$A$10</f>
        <v>-33.6484217433392</v>
      </c>
      <c r="AL88" s="32" t="n">
        <f aca="false">ASIN((0.9983271+0.0016764*COS($A$10*2*$B$5))*COS($A$10*AK88)*SIN($A$10*AJ88))/$A$10</f>
        <v>0.81241409808555</v>
      </c>
      <c r="AM88" s="32" t="n">
        <f aca="false">AK88-AL88</f>
        <v>-34.4608358414247</v>
      </c>
      <c r="AN88" s="35" t="n">
        <f aca="false"> MOD(280.4664567 + 360007.6982779*L88/10 + 0.03032028*L88^2/100 + L88^3/49931000,360)</f>
        <v>5.40150677376005</v>
      </c>
      <c r="AO88" s="32" t="n">
        <f aca="false"> AN88 + (1.9146 - 0.004817*L88 - 0.000014*L88^2)*SIN(Q88)+ (0.019993 - 0.000101*L88)*SIN(2*Q88)+ 0.00029*SIN(3*Q88)</f>
        <v>7.30197018821824</v>
      </c>
      <c r="AP88" s="32" t="n">
        <f aca="false">ACOS(COS(W88-$A$10*AO88)*COS(Y88))/$A$10</f>
        <v>54.0369239658703</v>
      </c>
      <c r="AQ88" s="34" t="n">
        <f aca="false">180 - AP88 -0.1468*(1-0.0549*SIN(Q88))*SIN($A$10*AP88)/(1-0.0167*SIN($A$10*AO88))</f>
        <v>125.850478727904</v>
      </c>
      <c r="AR88" s="64" t="n">
        <f aca="false">SIN($A$10*AI88)</f>
        <v>-0.890614687881319</v>
      </c>
      <c r="AS88" s="64" t="n">
        <f aca="false">COS($A$10*AI88)*SIN($A$10*$B$5) - TAN($A$10*AG88)*COS($A$10*$B$5)</f>
        <v>-0.0934869820062153</v>
      </c>
      <c r="AT88" s="24" t="n">
        <f aca="false">IF(OR(AND(AR88*AS88&gt;0), AND(AR88&lt;0,AS88&gt;0)), MOD(ATAN2(AS88,AR88)/$A$10+360,360),  ATAN2(AS88,AR88)/$A$10)</f>
        <v>264.007660749596</v>
      </c>
      <c r="AU88" s="39" t="n">
        <f aca="false"> 385000.56 + (-20905355*COS(P88) - 3699111*COS(2*R88-P88) - 2955968*COS(2*R88) - 569925*COS(2*P88) + (1-0.002516*L88)*48888*COS(Q88) - 3149*COS(2*S88)  +246158*COS(2*R88-2*P88) -(1 - 0.002516*L88)*152138*COS(2*R88-Q88-P88) -170733*COS(2*R88+P88) -(1 - 0.002516*L88)*204586*COS(2*R88-Q88) -(1 - 0.002516*L88)*129620*COS(Q88-P88)  + 108743*COS(R88) +(1-0.002516*L88)*104755*COS(Q88+P88) +10321*COS(2*R88-2*S88) +79661*COS(P88-2*S88) -34782*COS(4*R88-P88) -23210*COS(3*P88)  -21636*COS(4*R88-2*P88) +(1 - 0.002516*L88)*24208*COS(2*R88+Q88-P88) +(1 - 0.002516*L88)*30824*COS(2*R88+Q88) -8379*COS(R88-P88) -(1 - 0.002516*L88)*16675*COS(R88+Q88)  -(1 - 0.002516*L88)*12831*COS(2*R88-Q88+P88) -10445*COS(2*R88+2*P88) -11650*COS(4*R88) +14403*COS(2*R88-3*P88) -(1-0.002516*L88)*7003*COS(Q88-2*P88)  + (1 - 0.002516*L88)*10056*COS(2*R88-Q88-2*P88) +6322*COS(R88+P88) -(1 - 0.002516*L88)*(1-0.002516*L88)*9884*COS(2*R88-2*Q88) +(1-0.002516*L88)*5751*COS(Q88+2*P88) - (1-0.002516*L88)^2*4950*COS(2*R88-2*Q88-P88)  +4130*COS(2*R88+P88-2*S88) -(1-0.002516*L88)*3958*COS(4*R88-Q88-P88) +3258*COS(3*R88-P88) +(1 - 0.002516*L88)*2616*COS(2*R88+Q88+P88) -(1 - 0.002516*L88)*1897*COS(4*R88-Q88-2*P88)  -(1-0.002516*L88)^2*2117*COS(2*Q88-P88) +(1-0.002516*L88)^2*2354*COS(2*R88+2*Q88-P88) -1423*COS(4*R88+P88) -1117*COS(4*P88) -(1-0.002516*L88)*1571*COS(4*R88-Q88)  -1739*COS(R88-2*P88) -4421*COS(2*P88-2*S88) +(1-0.002516*L88)^2*1165*COS(2*Q88+P88) +8752*COS(2*R88-P88-2*S88))/1000</f>
        <v>373660.958437821</v>
      </c>
      <c r="AV88" s="54" t="n">
        <f aca="false">ATAN(0.99664719*TAN($A$10*input!$E$2))</f>
        <v>0.871010436227447</v>
      </c>
      <c r="AW88" s="54" t="n">
        <f aca="false">COS(AV88)</f>
        <v>0.644053912545845</v>
      </c>
      <c r="AX88" s="54" t="n">
        <f aca="false">0.99664719*SIN(AV88)</f>
        <v>0.762415269897027</v>
      </c>
      <c r="AY88" s="54" t="n">
        <f aca="false">6378.14/AU88</f>
        <v>0.0170693240917257</v>
      </c>
      <c r="AZ88" s="55" t="n">
        <f aca="false">M88-15*AH88</f>
        <v>-117.049409815604</v>
      </c>
      <c r="BA88" s="56" t="n">
        <f aca="false">COS($A$10*AG88)*SIN($A$10*AZ88)</f>
        <v>-0.827904622594974</v>
      </c>
      <c r="BB88" s="56" t="n">
        <f aca="false">COS($A$10*AG88)*COS($A$10*AZ88)-AW88*AY88</f>
        <v>-0.433731744896977</v>
      </c>
      <c r="BC88" s="56" t="n">
        <f aca="false">SIN($A$10*AG88)-AX88*AY88</f>
        <v>-0.381614465578026</v>
      </c>
      <c r="BD88" s="57" t="n">
        <f aca="false">SQRT(BA88^2+BB88^2+BC88^2)</f>
        <v>1.00954390245492</v>
      </c>
      <c r="BE88" s="58" t="n">
        <f aca="false">AU88*BD88</f>
        <v>377227.142176363</v>
      </c>
    </row>
    <row r="89" customFormat="false" ht="15" hidden="false" customHeight="false" outlineLevel="0" collapsed="false">
      <c r="D89" s="41" t="n">
        <f aca="false">K89-INT(275*E89/9)+IF($A$8="common year",2,1)*INT((E89+9)/12)+30</f>
        <v>29</v>
      </c>
      <c r="E89" s="41" t="n">
        <f aca="false">IF(K89&lt;32,1,INT(9*(IF($A$8="common year",2,1)+K89)/275+0.98))</f>
        <v>3</v>
      </c>
      <c r="F89" s="42" t="n">
        <f aca="false">AM89</f>
        <v>-39.1631078326778</v>
      </c>
      <c r="G89" s="60" t="n">
        <f aca="false">F89+1.02/(TAN($A$10*(F89+10.3/(F89+5.11)))*60)</f>
        <v>-39.1837557442441</v>
      </c>
      <c r="H89" s="43" t="n">
        <f aca="false">100*(1+COS($A$10*AQ89))/2</f>
        <v>12.4390862471153</v>
      </c>
      <c r="I89" s="43" t="n">
        <f aca="false">IF(AI89&gt;180,AT89-180,AT89+180)</f>
        <v>69.0439125467362</v>
      </c>
      <c r="J89" s="61" t="n">
        <f aca="false">$J$2+K88</f>
        <v>2459667.5</v>
      </c>
      <c r="K89" s="21" t="n">
        <v>88</v>
      </c>
      <c r="L89" s="62" t="n">
        <f aca="false">(J89-2451545)/36525</f>
        <v>0.222381930184805</v>
      </c>
      <c r="M89" s="63" t="n">
        <f aca="false">MOD(280.46061837+360.98564736629*(J89-2451545)+0.000387933*L89^2-L89^3/38710000+$B$7,360)</f>
        <v>201.381370245013</v>
      </c>
      <c r="N89" s="30" t="n">
        <f aca="false">0.606433+1336.855225*L89 - INT(0.606433+1336.855225*L89)</f>
        <v>0.898878313141665</v>
      </c>
      <c r="O89" s="35" t="n">
        <f aca="false">22640*SIN(P89)-4586*SIN(P89-2*R89)+2370*SIN(2*R89)+769*SIN(2*P89)-668*SIN(Q89)-412*SIN(2*S89)-212*SIN(2*P89-2*R89)-206*SIN(P89+Q89-2*R89)+192*SIN(P89+2*R89)-165*SIN(Q89-2*R89)-125*SIN(R89)-110*SIN(P89+Q89)+148*SIN(P89-Q89)-55*SIN(2*S89-2*R89)</f>
        <v>13484.7288880891</v>
      </c>
      <c r="P89" s="32" t="n">
        <f aca="false">2*PI()*(0.374897+1325.55241*L89 - INT(0.374897+1325.55241*L89))</f>
        <v>0.966357022483853</v>
      </c>
      <c r="Q89" s="36" t="n">
        <f aca="false">2*PI()*(0.993133+99.997361*L89 - INT(0.993133+99.997361*L89))</f>
        <v>1.44977685319837</v>
      </c>
      <c r="R89" s="36" t="n">
        <f aca="false">2*PI()*(0.827361+1236.853086*L89 - INT(0.827361+1236.853086*L89))</f>
        <v>5.53635094578107</v>
      </c>
      <c r="S89" s="36" t="n">
        <f aca="false">2*PI()*(0.259086+1342.227825*L89 - INT(0.259086+1342.227825*L89))</f>
        <v>4.68914415571551</v>
      </c>
      <c r="T89" s="36" t="n">
        <f aca="false">S89+(O89+412*SIN(2*S89)+541*SIN(Q89))/206264.8062</f>
        <v>4.75721645147443</v>
      </c>
      <c r="U89" s="36" t="n">
        <f aca="false">S89-2*R89</f>
        <v>-6.38355773584663</v>
      </c>
      <c r="V89" s="34" t="n">
        <f aca="false">-526*SIN(U89)+44*SIN(P89+U89)-31*SIN(-P89+U89)-23*SIN(Q89+U89)+11*SIN(-Q89+U89)-25*SIN(-2*P89+S89)+21*SIN(-P89+S89)</f>
        <v>59.0094506430921</v>
      </c>
      <c r="W89" s="36" t="n">
        <f aca="false">2*PI()*(N89+O89/1296000-INT(N89+O89/1296000))</f>
        <v>5.71319482058407</v>
      </c>
      <c r="X89" s="35" t="n">
        <f aca="false">W89*180/PI()</f>
        <v>327.341950755469</v>
      </c>
      <c r="Y89" s="36" t="n">
        <f aca="false">(18520*SIN(T89)+V89)/206264.8062</f>
        <v>-0.0894112088966398</v>
      </c>
      <c r="Z89" s="36" t="n">
        <f aca="false">Y89*180/PI()</f>
        <v>-5.12288491094002</v>
      </c>
      <c r="AA89" s="36" t="n">
        <f aca="false">COS(Y89)*COS(W89)</f>
        <v>0.838543098125319</v>
      </c>
      <c r="AB89" s="36" t="n">
        <f aca="false">COS(Y89)*SIN(W89)</f>
        <v>-0.537468500381394</v>
      </c>
      <c r="AC89" s="36" t="n">
        <f aca="false">SIN(Y89)</f>
        <v>-0.0892921255440075</v>
      </c>
      <c r="AD89" s="36" t="n">
        <f aca="false">COS($A$10*(23.4393-46.815*L89/3600))*AB89-SIN($A$10*(23.4393-46.815*L89/3600))*AC89</f>
        <v>-0.457614219538272</v>
      </c>
      <c r="AE89" s="36" t="n">
        <f aca="false">SIN($A$10*(23.4393-46.815*L89/3600))*AB89+COS($A$10*(23.4393-46.815*L89/3600))*AC89</f>
        <v>-0.295693589147228</v>
      </c>
      <c r="AF89" s="36" t="n">
        <f aca="false">SQRT(1-AE89*AE89)</f>
        <v>0.955282838397734</v>
      </c>
      <c r="AG89" s="35" t="n">
        <f aca="false">ATAN(AE89/AF89)/$A$10</f>
        <v>-17.1991326649411</v>
      </c>
      <c r="AH89" s="36" t="n">
        <f aca="false">IF(24*ATAN(AD89/(AA89+AF89))/PI()&gt;0,24*ATAN(AD89/(AA89+AF89))/PI(),24*ATAN(AD89/(AA89+AF89))/PI()+24)</f>
        <v>22.0918389241471</v>
      </c>
      <c r="AI89" s="63" t="n">
        <f aca="false">IF(M89-15*AH89&gt;0,M89-15*AH89,360+M89-15*AH89)</f>
        <v>230.003786382807</v>
      </c>
      <c r="AJ89" s="32" t="n">
        <f aca="false">0.950724+0.051818*COS(P89)+0.009531*COS(2*R89-P89)+0.007843*COS(2*R89)+0.002824*COS(2*P89)+0.000857*COS(2*R89+P89)+0.000533*COS(2*R89-Q89)*(1-0.002495*(J89-2415020)/36525)+0.000401*COS(2*R89-Q89-P89)*(1-0.002495*(J89-2415020)/36525)+0.00032*COS(P89-Q89)*(1-0.002495*(J89-2415020)/36525)-0.000271*COS(R89)</f>
        <v>0.972390693284392</v>
      </c>
      <c r="AK89" s="36" t="n">
        <f aca="false">ASIN(COS($A$10*$B$5)*COS($A$10*AG89)*COS($A$10*AI89)+SIN($A$10*$B$5)*SIN($A$10*AG89))/$A$10</f>
        <v>-38.4025897136795</v>
      </c>
      <c r="AL89" s="32" t="n">
        <f aca="false">ASIN((0.9983271+0.0016764*COS($A$10*2*$B$5))*COS($A$10*AK89)*SIN($A$10*AJ89))/$A$10</f>
        <v>0.760518118998227</v>
      </c>
      <c r="AM89" s="32" t="n">
        <f aca="false">AK89-AL89</f>
        <v>-39.1631078326778</v>
      </c>
      <c r="AN89" s="35" t="n">
        <f aca="false"> MOD(280.4664567 + 360007.6982779*L89/10 + 0.03032028*L89^2/100 + L89^3/49931000,360)</f>
        <v>6.38715413755563</v>
      </c>
      <c r="AO89" s="32" t="n">
        <f aca="false"> AN89 + (1.9146 - 0.004817*L89 - 0.000014*L89^2)*SIN(Q89)+ (0.019993 - 0.000101*L89)*SIN(2*Q89)+ 0.00029*SIN(3*Q89)</f>
        <v>8.29120232858394</v>
      </c>
      <c r="AP89" s="32" t="n">
        <f aca="false">ACOS(COS(W89-$A$10*AO89)*COS(Y89))/$A$10</f>
        <v>41.2123118384365</v>
      </c>
      <c r="AQ89" s="34" t="n">
        <f aca="false">180 - AP89 -0.1468*(1-0.0549*SIN(Q89))*SIN($A$10*AP89)/(1-0.0167*SIN($A$10*AO89))</f>
        <v>138.696019113839</v>
      </c>
      <c r="AR89" s="64" t="n">
        <f aca="false">SIN($A$10*AI89)</f>
        <v>-0.766086919966869</v>
      </c>
      <c r="AS89" s="64" t="n">
        <f aca="false">COS($A$10*AI89)*SIN($A$10*$B$5) - TAN($A$10*AG89)*COS($A$10*$B$5)</f>
        <v>-0.293399754591873</v>
      </c>
      <c r="AT89" s="24" t="n">
        <f aca="false">IF(OR(AND(AR89*AS89&gt;0), AND(AR89&lt;0,AS89&gt;0)), MOD(ATAN2(AS89,AR89)/$A$10+360,360),  ATAN2(AS89,AR89)/$A$10)</f>
        <v>249.043912546736</v>
      </c>
      <c r="AU89" s="39" t="n">
        <f aca="false"> 385000.56 + (-20905355*COS(P89) - 3699111*COS(2*R89-P89) - 2955968*COS(2*R89) - 569925*COS(2*P89) + (1-0.002516*L89)*48888*COS(Q89) - 3149*COS(2*S89)  +246158*COS(2*R89-2*P89) -(1 - 0.002516*L89)*152138*COS(2*R89-Q89-P89) -170733*COS(2*R89+P89) -(1 - 0.002516*L89)*204586*COS(2*R89-Q89) -(1 - 0.002516*L89)*129620*COS(Q89-P89)  + 108743*COS(R89) +(1-0.002516*L89)*104755*COS(Q89+P89) +10321*COS(2*R89-2*S89) +79661*COS(P89-2*S89) -34782*COS(4*R89-P89) -23210*COS(3*P89)  -21636*COS(4*R89-2*P89) +(1 - 0.002516*L89)*24208*COS(2*R89+Q89-P89) +(1 - 0.002516*L89)*30824*COS(2*R89+Q89) -8379*COS(R89-P89) -(1 - 0.002516*L89)*16675*COS(R89+Q89)  -(1 - 0.002516*L89)*12831*COS(2*R89-Q89+P89) -10445*COS(2*R89+2*P89) -11650*COS(4*R89) +14403*COS(2*R89-3*P89) -(1-0.002516*L89)*7003*COS(Q89-2*P89)  + (1 - 0.002516*L89)*10056*COS(2*R89-Q89-2*P89) +6322*COS(R89+P89) -(1 - 0.002516*L89)*(1-0.002516*L89)*9884*COS(2*R89-2*Q89) +(1-0.002516*L89)*5751*COS(Q89+2*P89) - (1-0.002516*L89)^2*4950*COS(2*R89-2*Q89-P89)  +4130*COS(2*R89+P89-2*S89) -(1-0.002516*L89)*3958*COS(4*R89-Q89-P89) +3258*COS(3*R89-P89) +(1 - 0.002516*L89)*2616*COS(2*R89+Q89+P89) -(1 - 0.002516*L89)*1897*COS(4*R89-Q89-2*P89)  -(1-0.002516*L89)^2*2117*COS(2*Q89-P89) +(1-0.002516*L89)^2*2354*COS(2*R89+2*Q89-P89) -1423*COS(4*R89+P89) -1117*COS(4*P89) -(1-0.002516*L89)*1571*COS(4*R89-Q89)  -1739*COS(R89-2*P89) -4421*COS(2*P89-2*S89) +(1-0.002516*L89)^2*1165*COS(2*Q89+P89) +8752*COS(2*R89-P89-2*S89))/1000</f>
        <v>375818.473554134</v>
      </c>
      <c r="AV89" s="54" t="n">
        <f aca="false">ATAN(0.99664719*TAN($A$10*input!$E$2))</f>
        <v>0.871010436227447</v>
      </c>
      <c r="AW89" s="54" t="n">
        <f aca="false">COS(AV89)</f>
        <v>0.644053912545845</v>
      </c>
      <c r="AX89" s="54" t="n">
        <f aca="false">0.99664719*SIN(AV89)</f>
        <v>0.762415269897027</v>
      </c>
      <c r="AY89" s="54" t="n">
        <f aca="false">6378.14/AU89</f>
        <v>0.0169713317700474</v>
      </c>
      <c r="AZ89" s="55" t="n">
        <f aca="false">M89-15*AH89</f>
        <v>-129.996213617193</v>
      </c>
      <c r="BA89" s="56" t="n">
        <f aca="false">COS($A$10*AG89)*SIN($A$10*AZ89)</f>
        <v>-0.731829687365327</v>
      </c>
      <c r="BB89" s="56" t="n">
        <f aca="false">COS($A$10*AG89)*COS($A$10*AZ89)-AW89*AY89</f>
        <v>-0.62492606338391</v>
      </c>
      <c r="BC89" s="56" t="n">
        <f aca="false">SIN($A$10*AG89)-AX89*AY89</f>
        <v>-0.308632791639201</v>
      </c>
      <c r="BD89" s="57" t="n">
        <f aca="false">SQRT(BA89^2+BB89^2+BC89^2)</f>
        <v>1.01062430016339</v>
      </c>
      <c r="BE89" s="58" t="n">
        <f aca="false">AU89*BD89</f>
        <v>379811.281824121</v>
      </c>
    </row>
    <row r="90" customFormat="false" ht="15" hidden="false" customHeight="false" outlineLevel="0" collapsed="false">
      <c r="D90" s="41" t="n">
        <f aca="false">K90-INT(275*E90/9)+IF($A$8="common year",2,1)*INT((E90+9)/12)+30</f>
        <v>30</v>
      </c>
      <c r="E90" s="41" t="n">
        <f aca="false">IF(K90&lt;32,1,INT(9*(IF($A$8="common year",2,1)+K90)/275+0.98))</f>
        <v>3</v>
      </c>
      <c r="F90" s="42" t="n">
        <f aca="false">AM90</f>
        <v>-41.609285708112</v>
      </c>
      <c r="G90" s="60" t="n">
        <f aca="false">F90+1.02/(TAN($A$10*(F90+10.3/(F90+5.11)))*60)</f>
        <v>-41.628238184678</v>
      </c>
      <c r="H90" s="43" t="n">
        <f aca="false">100*(1+COS($A$10*AQ90))/2</f>
        <v>6.11110731189797</v>
      </c>
      <c r="I90" s="43" t="n">
        <f aca="false">IF(AI90&gt;180,AT90-180,AT90+180)</f>
        <v>52.6540190998024</v>
      </c>
      <c r="J90" s="61" t="n">
        <f aca="false">$J$2+K89</f>
        <v>2459668.5</v>
      </c>
      <c r="K90" s="21" t="n">
        <v>89</v>
      </c>
      <c r="L90" s="62" t="n">
        <f aca="false">(J90-2451545)/36525</f>
        <v>0.222409308692676</v>
      </c>
      <c r="M90" s="63" t="n">
        <f aca="false">MOD(280.46061837+360.98564736629*(J90-2451545)+0.000387933*L90^2-L90^3/38710000+$B$7,360)</f>
        <v>202.367017616052</v>
      </c>
      <c r="N90" s="30" t="n">
        <f aca="false">0.606433+1336.855225*L90 - INT(0.606433+1336.855225*L90)</f>
        <v>0.93547941444217</v>
      </c>
      <c r="O90" s="35" t="n">
        <f aca="false">22640*SIN(P90)-4586*SIN(P90-2*R90)+2370*SIN(2*R90)+769*SIN(2*P90)-668*SIN(Q90)-412*SIN(2*S90)-212*SIN(2*P90-2*R90)-206*SIN(P90+Q90-2*R90)+192*SIN(P90+2*R90)-165*SIN(Q90-2*R90)-125*SIN(R90)-110*SIN(P90+Q90)+148*SIN(P90-Q90)-55*SIN(2*S90-2*R90)</f>
        <v>15611.6863559702</v>
      </c>
      <c r="P90" s="32" t="n">
        <f aca="false">2*PI()*(0.374897+1325.55241*L90 - INT(0.374897+1325.55241*L90))</f>
        <v>1.19438416625967</v>
      </c>
      <c r="Q90" s="36" t="n">
        <f aca="false">2*PI()*(0.993133+99.997361*L90 - INT(0.993133+99.997361*L90))</f>
        <v>1.46697882306538</v>
      </c>
      <c r="R90" s="36" t="n">
        <f aca="false">2*PI()*(0.827361+1236.853086*L90 - INT(0.827361+1236.853086*L90))</f>
        <v>5.74911965590009</v>
      </c>
      <c r="S90" s="36" t="n">
        <f aca="false">2*PI()*(0.259086+1342.227825*L90 - INT(0.259086+1342.227825*L90))</f>
        <v>4.92003987505652</v>
      </c>
      <c r="T90" s="36" t="n">
        <f aca="false">S90+(O90+412*SIN(2*S90)+541*SIN(Q90))/206264.8062</f>
        <v>4.99753029027706</v>
      </c>
      <c r="U90" s="36" t="n">
        <f aca="false">S90-2*R90</f>
        <v>-6.57819943674367</v>
      </c>
      <c r="V90" s="34" t="n">
        <f aca="false">-526*SIN(U90)+44*SIN(P90+U90)-31*SIN(-P90+U90)-23*SIN(Q90+U90)+11*SIN(-Q90+U90)-25*SIN(-2*P90+S90)+21*SIN(-P90+S90)</f>
        <v>160.380329072773</v>
      </c>
      <c r="W90" s="36" t="n">
        <f aca="false">2*PI()*(N90+O90/1296000-INT(N90+O90/1296000))</f>
        <v>5.95347810329766</v>
      </c>
      <c r="X90" s="35" t="n">
        <f aca="false">W90*180/PI()</f>
        <v>341.109168742506</v>
      </c>
      <c r="Y90" s="36" t="n">
        <f aca="false">(18520*SIN(T90)+V90)/206264.8062</f>
        <v>-0.0853845007272937</v>
      </c>
      <c r="Z90" s="36" t="n">
        <f aca="false">Y90*180/PI()</f>
        <v>-4.89217152750564</v>
      </c>
      <c r="AA90" s="36" t="n">
        <f aca="false">COS(Y90)*COS(W90)</f>
        <v>0.94269036367469</v>
      </c>
      <c r="AB90" s="36" t="n">
        <f aca="false">COS(Y90)*SIN(W90)</f>
        <v>-0.322586523664843</v>
      </c>
      <c r="AC90" s="36" t="n">
        <f aca="false">SIN(Y90)</f>
        <v>-0.0852807890718192</v>
      </c>
      <c r="AD90" s="36" t="n">
        <f aca="false">COS($A$10*(23.4393-46.815*L90/3600))*AB90-SIN($A$10*(23.4393-46.815*L90/3600))*AC90</f>
        <v>-0.262054993868037</v>
      </c>
      <c r="AE90" s="36" t="n">
        <f aca="false">SIN($A$10*(23.4393-46.815*L90/3600))*AB90+COS($A$10*(23.4393-46.815*L90/3600))*AC90</f>
        <v>-0.206547956716361</v>
      </c>
      <c r="AF90" s="36" t="n">
        <f aca="false">SQRT(1-AE90*AE90)</f>
        <v>0.978436478048676</v>
      </c>
      <c r="AG90" s="35" t="n">
        <f aca="false">ATAN(AE90/AF90)/$A$10</f>
        <v>-11.9201299892169</v>
      </c>
      <c r="AH90" s="36" t="n">
        <f aca="false">IF(24*ATAN(AD90/(AA90+AF90))/PI()&gt;0,24*ATAN(AD90/(AA90+AF90))/PI(),24*ATAN(AD90/(AA90+AF90))/PI()+24)</f>
        <v>22.9643199125855</v>
      </c>
      <c r="AI90" s="63" t="n">
        <f aca="false">IF(M90-15*AH90&gt;0,M90-15*AH90,360+M90-15*AH90)</f>
        <v>217.902218927269</v>
      </c>
      <c r="AJ90" s="32" t="n">
        <f aca="false">0.950724+0.051818*COS(P90)+0.009531*COS(2*R90-P90)+0.007843*COS(2*R90)+0.002824*COS(2*P90)+0.000857*COS(2*R90+P90)+0.000533*COS(2*R90-Q90)*(1-0.002495*(J90-2415020)/36525)+0.000401*COS(2*R90-Q90-P90)*(1-0.002495*(J90-2415020)/36525)+0.00032*COS(P90-Q90)*(1-0.002495*(J90-2415020)/36525)-0.000271*COS(R90)</f>
        <v>0.965564633351157</v>
      </c>
      <c r="AK90" s="36" t="n">
        <f aca="false">ASIN(COS($A$10*$B$5)*COS($A$10*AG90)*COS($A$10*AI90)+SIN($A$10*$B$5)*SIN($A$10*AG90))/$A$10</f>
        <v>-40.8806960229763</v>
      </c>
      <c r="AL90" s="32" t="n">
        <f aca="false">ASIN((0.9983271+0.0016764*COS($A$10*2*$B$5))*COS($A$10*AK90)*SIN($A$10*AJ90))/$A$10</f>
        <v>0.728589685135722</v>
      </c>
      <c r="AM90" s="32" t="n">
        <f aca="false">AK90-AL90</f>
        <v>-41.609285708112</v>
      </c>
      <c r="AN90" s="35" t="n">
        <f aca="false"> MOD(280.4664567 + 360007.6982779*L90/10 + 0.03032028*L90^2/100 + L90^3/49931000,360)</f>
        <v>7.37280150135121</v>
      </c>
      <c r="AO90" s="32" t="n">
        <f aca="false"> AN90 + (1.9146 - 0.004817*L90 - 0.000014*L90^2)*SIN(Q90)+ (0.019993 - 0.000101*L90)*SIN(2*Q90)+ 0.00029*SIN(3*Q90)</f>
        <v>9.27986745278304</v>
      </c>
      <c r="AP90" s="32" t="n">
        <f aca="false">ACOS(COS(W90-$A$10*AO90)*COS(Y90))/$A$10</f>
        <v>28.5580172116456</v>
      </c>
      <c r="AQ90" s="34" t="n">
        <f aca="false">180 - AP90 -0.1468*(1-0.0549*SIN(Q90))*SIN($A$10*AP90)/(1-0.0167*SIN($A$10*AO90))</f>
        <v>151.375458134174</v>
      </c>
      <c r="AR90" s="64" t="n">
        <f aca="false">SIN($A$10*AI90)</f>
        <v>-0.614315758960594</v>
      </c>
      <c r="AS90" s="64" t="n">
        <f aca="false">COS($A$10*AI90)*SIN($A$10*$B$5) - TAN($A$10*AG90)*COS($A$10*$B$5)</f>
        <v>-0.468762778808932</v>
      </c>
      <c r="AT90" s="24" t="n">
        <f aca="false">IF(OR(AND(AR90*AS90&gt;0), AND(AR90&lt;0,AS90&gt;0)), MOD(ATAN2(AS90,AR90)/$A$10+360,360),  ATAN2(AS90,AR90)/$A$10)</f>
        <v>232.654019099802</v>
      </c>
      <c r="AU90" s="39" t="n">
        <f aca="false"> 385000.56 + (-20905355*COS(P90) - 3699111*COS(2*R90-P90) - 2955968*COS(2*R90) - 569925*COS(2*P90) + (1-0.002516*L90)*48888*COS(Q90) - 3149*COS(2*S90)  +246158*COS(2*R90-2*P90) -(1 - 0.002516*L90)*152138*COS(2*R90-Q90-P90) -170733*COS(2*R90+P90) -(1 - 0.002516*L90)*204586*COS(2*R90-Q90) -(1 - 0.002516*L90)*129620*COS(Q90-P90)  + 108743*COS(R90) +(1-0.002516*L90)*104755*COS(Q90+P90) +10321*COS(2*R90-2*S90) +79661*COS(P90-2*S90) -34782*COS(4*R90-P90) -23210*COS(3*P90)  -21636*COS(4*R90-2*P90) +(1 - 0.002516*L90)*24208*COS(2*R90+Q90-P90) +(1 - 0.002516*L90)*30824*COS(2*R90+Q90) -8379*COS(R90-P90) -(1 - 0.002516*L90)*16675*COS(R90+Q90)  -(1 - 0.002516*L90)*12831*COS(2*R90-Q90+P90) -10445*COS(2*R90+2*P90) -11650*COS(4*R90) +14403*COS(2*R90-3*P90) -(1-0.002516*L90)*7003*COS(Q90-2*P90)  + (1 - 0.002516*L90)*10056*COS(2*R90-Q90-2*P90) +6322*COS(R90+P90) -(1 - 0.002516*L90)*(1-0.002516*L90)*9884*COS(2*R90-2*Q90) +(1-0.002516*L90)*5751*COS(Q90+2*P90) - (1-0.002516*L90)^2*4950*COS(2*R90-2*Q90-P90)  +4130*COS(2*R90+P90-2*S90) -(1-0.002516*L90)*3958*COS(4*R90-Q90-P90) +3258*COS(3*R90-P90) +(1 - 0.002516*L90)*2616*COS(2*R90+Q90+P90) -(1 - 0.002516*L90)*1897*COS(4*R90-Q90-2*P90)  -(1-0.002516*L90)^2*2117*COS(2*Q90-P90) +(1-0.002516*L90)^2*2354*COS(2*R90+2*Q90-P90) -1423*COS(4*R90+P90) -1117*COS(4*P90) -(1-0.002516*L90)*1571*COS(4*R90-Q90)  -1739*COS(R90-2*P90) -4421*COS(2*P90-2*S90) +(1-0.002516*L90)^2*1165*COS(2*Q90+P90) +8752*COS(2*R90-P90-2*S90))/1000</f>
        <v>378483.887681704</v>
      </c>
      <c r="AV90" s="54" t="n">
        <f aca="false">ATAN(0.99664719*TAN($A$10*input!$E$2))</f>
        <v>0.871010436227447</v>
      </c>
      <c r="AW90" s="54" t="n">
        <f aca="false">COS(AV90)</f>
        <v>0.644053912545845</v>
      </c>
      <c r="AX90" s="54" t="n">
        <f aca="false">0.99664719*SIN(AV90)</f>
        <v>0.762415269897027</v>
      </c>
      <c r="AY90" s="54" t="n">
        <f aca="false">6378.14/AU90</f>
        <v>0.0168518137960046</v>
      </c>
      <c r="AZ90" s="55" t="n">
        <f aca="false">M90-15*AH90</f>
        <v>-142.097781072731</v>
      </c>
      <c r="BA90" s="56" t="n">
        <f aca="false">COS($A$10*AG90)*SIN($A$10*AZ90)</f>
        <v>-0.601068947607202</v>
      </c>
      <c r="BB90" s="56" t="n">
        <f aca="false">COS($A$10*AG90)*COS($A$10*AZ90)-AW90*AY90</f>
        <v>-0.782898852087913</v>
      </c>
      <c r="BC90" s="56" t="n">
        <f aca="false">SIN($A$10*AG90)-AX90*AY90</f>
        <v>-0.219396036879896</v>
      </c>
      <c r="BD90" s="57" t="n">
        <f aca="false">SQRT(BA90^2+BB90^2+BC90^2)</f>
        <v>1.01111280942178</v>
      </c>
      <c r="BE90" s="58" t="n">
        <f aca="false">AU90*BD90</f>
        <v>382689.906994725</v>
      </c>
    </row>
    <row r="91" customFormat="false" ht="15" hidden="false" customHeight="false" outlineLevel="0" collapsed="false">
      <c r="D91" s="41" t="n">
        <f aca="false">K91-INT(275*E91/9)+IF($A$8="common year",2,1)*INT((E91+9)/12)+30</f>
        <v>31</v>
      </c>
      <c r="E91" s="41" t="n">
        <f aca="false">IF(K91&lt;32,1,INT(9*(IF($A$8="common year",2,1)+K91)/275+0.98))</f>
        <v>3</v>
      </c>
      <c r="F91" s="42" t="n">
        <f aca="false">AM91</f>
        <v>-41.5640434767136</v>
      </c>
      <c r="G91" s="60" t="n">
        <f aca="false">F91+1.02/(TAN($A$10*(F91+10.3/(F91+5.11)))*60)</f>
        <v>-41.5830258541365</v>
      </c>
      <c r="H91" s="43" t="n">
        <f aca="false">100*(1+COS($A$10*AQ91))/2</f>
        <v>1.99061632171571</v>
      </c>
      <c r="I91" s="43" t="n">
        <f aca="false">IF(AI91&gt;180,AT91-180,AT91+180)</f>
        <v>35.8906876381782</v>
      </c>
      <c r="J91" s="61" t="n">
        <f aca="false">$J$2+K90</f>
        <v>2459669.5</v>
      </c>
      <c r="K91" s="21" t="n">
        <v>90</v>
      </c>
      <c r="L91" s="62" t="n">
        <f aca="false">(J91-2451545)/36525</f>
        <v>0.222436687200548</v>
      </c>
      <c r="M91" s="63" t="n">
        <f aca="false">MOD(280.46061837+360.98564736629*(J91-2451545)+0.000387933*L91^2-L91^3/38710000+$B$7,360)</f>
        <v>203.352664986625</v>
      </c>
      <c r="N91" s="30" t="n">
        <f aca="false">0.606433+1336.855225*L91 - INT(0.606433+1336.855225*L91)</f>
        <v>0.972080515742618</v>
      </c>
      <c r="O91" s="35" t="n">
        <f aca="false">22640*SIN(P91)-4586*SIN(P91-2*R91)+2370*SIN(2*R91)+769*SIN(2*P91)-668*SIN(Q91)-412*SIN(2*S91)-212*SIN(2*P91-2*R91)-206*SIN(P91+Q91-2*R91)+192*SIN(P91+2*R91)-165*SIN(Q91-2*R91)-125*SIN(R91)-110*SIN(P91+Q91)+148*SIN(P91-Q91)-55*SIN(2*S91-2*R91)</f>
        <v>17017.8699968874</v>
      </c>
      <c r="P91" s="32" t="n">
        <f aca="false">2*PI()*(0.374897+1325.55241*L91 - INT(0.374897+1325.55241*L91))</f>
        <v>1.42241131003549</v>
      </c>
      <c r="Q91" s="36" t="n">
        <f aca="false">2*PI()*(0.993133+99.997361*L91 - INT(0.993133+99.997361*L91))</f>
        <v>1.48418079293237</v>
      </c>
      <c r="R91" s="36" t="n">
        <f aca="false">2*PI()*(0.827361+1236.853086*L91 - INT(0.827361+1236.853086*L91))</f>
        <v>5.96188836601912</v>
      </c>
      <c r="S91" s="36" t="n">
        <f aca="false">2*PI()*(0.259086+1342.227825*L91 - INT(0.259086+1342.227825*L91))</f>
        <v>5.15093559439716</v>
      </c>
      <c r="T91" s="36" t="n">
        <f aca="false">S91+(O91+412*SIN(2*S91)+541*SIN(Q91))/206264.8062</f>
        <v>5.23451777301651</v>
      </c>
      <c r="U91" s="36" t="n">
        <f aca="false">S91-2*R91</f>
        <v>-6.77284113764107</v>
      </c>
      <c r="V91" s="34" t="n">
        <f aca="false">-526*SIN(U91)+44*SIN(P91+U91)-31*SIN(-P91+U91)-23*SIN(Q91+U91)+11*SIN(-Q91+U91)-25*SIN(-2*P91+S91)+21*SIN(-P91+S91)</f>
        <v>252.370780414283</v>
      </c>
      <c r="W91" s="36" t="n">
        <f aca="false">2*PI()*(N91+O91/1296000-INT(N91+O91/1296000))</f>
        <v>6.19026697588792</v>
      </c>
      <c r="X91" s="35" t="n">
        <f aca="false">W91*180/PI()</f>
        <v>354.676171777589</v>
      </c>
      <c r="Y91" s="36" t="n">
        <f aca="false">(18520*SIN(T91)+V91)/206264.8062</f>
        <v>-0.0766006314766771</v>
      </c>
      <c r="Z91" s="36" t="n">
        <f aca="false">Y91*180/PI()</f>
        <v>-4.38889289165057</v>
      </c>
      <c r="AA91" s="36" t="n">
        <f aca="false">COS(Y91)*COS(W91)</f>
        <v>0.992766452587559</v>
      </c>
      <c r="AB91" s="36" t="n">
        <f aca="false">COS(Y91)*SIN(W91)</f>
        <v>-0.0925126011114471</v>
      </c>
      <c r="AC91" s="36" t="n">
        <f aca="false">SIN(Y91)</f>
        <v>-0.0765257424159234</v>
      </c>
      <c r="AD91" s="36" t="n">
        <f aca="false">COS($A$10*(23.4393-46.815*L91/3600))*AB91-SIN($A$10*(23.4393-46.815*L91/3600))*AC91</f>
        <v>-0.0544438456597173</v>
      </c>
      <c r="AE91" s="36" t="n">
        <f aca="false">SIN($A$10*(23.4393-46.815*L91/3600))*AB91+COS($A$10*(23.4393-46.815*L91/3600))*AC91</f>
        <v>-0.107007655270522</v>
      </c>
      <c r="AF91" s="36" t="n">
        <f aca="false">SQRT(1-AE91*AE91)</f>
        <v>0.994258196704209</v>
      </c>
      <c r="AG91" s="35" t="n">
        <f aca="false">ATAN(AE91/AF91)/$A$10</f>
        <v>-6.14284853851211</v>
      </c>
      <c r="AH91" s="36" t="n">
        <f aca="false">IF(24*ATAN(AD91/(AA91+AF91))/PI()&gt;0,24*ATAN(AD91/(AA91+AF91))/PI(),24*ATAN(AD91/(AA91+AF91))/PI()+24)</f>
        <v>23.7907341977208</v>
      </c>
      <c r="AI91" s="63" t="n">
        <f aca="false">IF(M91-15*AH91&gt;0,M91-15*AH91,360+M91-15*AH91)</f>
        <v>206.491652020813</v>
      </c>
      <c r="AJ91" s="32" t="n">
        <f aca="false">0.950724+0.051818*COS(P91)+0.009531*COS(2*R91-P91)+0.007843*COS(2*R91)+0.002824*COS(2*P91)+0.000857*COS(2*R91+P91)+0.000533*COS(2*R91-Q91)*(1-0.002495*(J91-2415020)/36525)+0.000401*COS(2*R91-Q91-P91)*(1-0.002495*(J91-2415020)/36525)+0.00032*COS(P91-Q91)*(1-0.002495*(J91-2415020)/36525)-0.000271*COS(R91)</f>
        <v>0.957465228876629</v>
      </c>
      <c r="AK91" s="36" t="n">
        <f aca="false">ASIN(COS($A$10*$B$5)*COS($A$10*AG91)*COS($A$10*AI91)+SIN($A$10*$B$5)*SIN($A$10*AG91))/$A$10</f>
        <v>-40.8411334526225</v>
      </c>
      <c r="AL91" s="32" t="n">
        <f aca="false">ASIN((0.9983271+0.0016764*COS($A$10*2*$B$5))*COS($A$10*AK91)*SIN($A$10*AJ91))/$A$10</f>
        <v>0.722910024091024</v>
      </c>
      <c r="AM91" s="32" t="n">
        <f aca="false">AK91-AL91</f>
        <v>-41.5640434767136</v>
      </c>
      <c r="AN91" s="35" t="n">
        <f aca="false"> MOD(280.4664567 + 360007.6982779*L91/10 + 0.03032028*L91^2/100 + L91^3/49931000,360)</f>
        <v>8.3584488651486</v>
      </c>
      <c r="AO91" s="32" t="n">
        <f aca="false"> AN91 + (1.9146 - 0.004817*L91 - 0.000014*L91^2)*SIN(Q91)+ (0.019993 - 0.000101*L91)*SIN(2*Q91)+ 0.00029*SIN(3*Q91)</f>
        <v>10.2679652741287</v>
      </c>
      <c r="AP91" s="32" t="n">
        <f aca="false">ACOS(COS(W91-$A$10*AO91)*COS(Y91))/$A$10</f>
        <v>16.1829655525015</v>
      </c>
      <c r="AQ91" s="34" t="n">
        <f aca="false">180 - AP91 -0.1468*(1-0.0549*SIN(Q91))*SIN($A$10*AP91)/(1-0.0167*SIN($A$10*AO91))</f>
        <v>163.778242748276</v>
      </c>
      <c r="AR91" s="64" t="n">
        <f aca="false">SIN($A$10*AI91)</f>
        <v>-0.446067416685908</v>
      </c>
      <c r="AS91" s="64" t="n">
        <f aca="false">COS($A$10*AI91)*SIN($A$10*$B$5) - TAN($A$10*AG91)*COS($A$10*$B$5)</f>
        <v>-0.616428873335505</v>
      </c>
      <c r="AT91" s="24" t="n">
        <f aca="false">IF(OR(AND(AR91*AS91&gt;0), AND(AR91&lt;0,AS91&gt;0)), MOD(ATAN2(AS91,AR91)/$A$10+360,360),  ATAN2(AS91,AR91)/$A$10)</f>
        <v>215.890687638178</v>
      </c>
      <c r="AU91" s="39" t="n">
        <f aca="false"> 385000.56 + (-20905355*COS(P91) - 3699111*COS(2*R91-P91) - 2955968*COS(2*R91) - 569925*COS(2*P91) + (1-0.002516*L91)*48888*COS(Q91) - 3149*COS(2*S91)  +246158*COS(2*R91-2*P91) -(1 - 0.002516*L91)*152138*COS(2*R91-Q91-P91) -170733*COS(2*R91+P91) -(1 - 0.002516*L91)*204586*COS(2*R91-Q91) -(1 - 0.002516*L91)*129620*COS(Q91-P91)  + 108743*COS(R91) +(1-0.002516*L91)*104755*COS(Q91+P91) +10321*COS(2*R91-2*S91) +79661*COS(P91-2*S91) -34782*COS(4*R91-P91) -23210*COS(3*P91)  -21636*COS(4*R91-2*P91) +(1 - 0.002516*L91)*24208*COS(2*R91+Q91-P91) +(1 - 0.002516*L91)*30824*COS(2*R91+Q91) -8379*COS(R91-P91) -(1 - 0.002516*L91)*16675*COS(R91+Q91)  -(1 - 0.002516*L91)*12831*COS(2*R91-Q91+P91) -10445*COS(2*R91+2*P91) -11650*COS(4*R91) +14403*COS(2*R91-3*P91) -(1-0.002516*L91)*7003*COS(Q91-2*P91)  + (1 - 0.002516*L91)*10056*COS(2*R91-Q91-2*P91) +6322*COS(R91+P91) -(1 - 0.002516*L91)*(1-0.002516*L91)*9884*COS(2*R91-2*Q91) +(1-0.002516*L91)*5751*COS(Q91+2*P91) - (1-0.002516*L91)^2*4950*COS(2*R91-2*Q91-P91)  +4130*COS(2*R91+P91-2*S91) -(1-0.002516*L91)*3958*COS(4*R91-Q91-P91) +3258*COS(3*R91-P91) +(1 - 0.002516*L91)*2616*COS(2*R91+Q91+P91) -(1 - 0.002516*L91)*1897*COS(4*R91-Q91-2*P91)  -(1-0.002516*L91)^2*2117*COS(2*Q91-P91) +(1-0.002516*L91)^2*2354*COS(2*R91+2*Q91-P91) -1423*COS(4*R91+P91) -1117*COS(4*P91) -(1-0.002516*L91)*1571*COS(4*R91-Q91)  -1739*COS(R91-2*P91) -4421*COS(2*P91-2*S91) +(1-0.002516*L91)^2*1165*COS(2*Q91+P91) +8752*COS(2*R91-P91-2*S91))/1000</f>
        <v>381642.471792001</v>
      </c>
      <c r="AV91" s="54" t="n">
        <f aca="false">ATAN(0.99664719*TAN($A$10*input!$E$2))</f>
        <v>0.871010436227447</v>
      </c>
      <c r="AW91" s="54" t="n">
        <f aca="false">COS(AV91)</f>
        <v>0.644053912545845</v>
      </c>
      <c r="AX91" s="54" t="n">
        <f aca="false">0.99664719*SIN(AV91)</f>
        <v>0.762415269897027</v>
      </c>
      <c r="AY91" s="54" t="n">
        <f aca="false">6378.14/AU91</f>
        <v>0.0167123432831033</v>
      </c>
      <c r="AZ91" s="55" t="n">
        <f aca="false">M91-15*AH91</f>
        <v>-153.508347979187</v>
      </c>
      <c r="BA91" s="56" t="n">
        <f aca="false">COS($A$10*AG91)*SIN($A$10*AZ91)</f>
        <v>-0.443506185322635</v>
      </c>
      <c r="BB91" s="56" t="n">
        <f aca="false">COS($A$10*AG91)*COS($A$10*AZ91)-AW91*AY91</f>
        <v>-0.900624102787507</v>
      </c>
      <c r="BC91" s="56" t="n">
        <f aca="false">SIN($A$10*AG91)-AX91*AY91</f>
        <v>-0.119749400985321</v>
      </c>
      <c r="BD91" s="57" t="n">
        <f aca="false">SQRT(BA91^2+BB91^2+BC91^2)</f>
        <v>1.01101999484559</v>
      </c>
      <c r="BE91" s="58" t="n">
        <f aca="false">AU91*BD91</f>
        <v>385848.169864008</v>
      </c>
    </row>
    <row r="92" customFormat="false" ht="15" hidden="false" customHeight="false" outlineLevel="0" collapsed="false">
      <c r="A92" s="11"/>
      <c r="B92" s="69"/>
      <c r="C92" s="69"/>
      <c r="D92" s="70" t="n">
        <f aca="false">K92-INT(275*E92/9)+IF($A$8="common year",2,1)*INT((E92+9)/12)+30</f>
        <v>1</v>
      </c>
      <c r="E92" s="70" t="n">
        <f aca="false">IF(K92&lt;32,1,INT(9*(IF($A$8="common year",2,1)+K92)/275+0.98))</f>
        <v>4</v>
      </c>
      <c r="F92" s="42" t="n">
        <f aca="false">AM92</f>
        <v>-39.1851422949706</v>
      </c>
      <c r="G92" s="60" t="n">
        <f aca="false">F92+1.02/(TAN($A$10*(F92+10.3/(F92+5.11)))*60)</f>
        <v>-39.2057741752675</v>
      </c>
      <c r="H92" s="43" t="n">
        <f aca="false">100*(1+COS($A$10*AQ92))/2</f>
        <v>0.183344874707009</v>
      </c>
      <c r="I92" s="43" t="n">
        <f aca="false">IF(AI92&gt;180,AT92-180,AT92+180)</f>
        <v>20.0228765819615</v>
      </c>
      <c r="J92" s="44" t="n">
        <f aca="false">$J$2+K91</f>
        <v>2459670.5</v>
      </c>
      <c r="K92" s="11" t="n">
        <v>91</v>
      </c>
      <c r="L92" s="45" t="n">
        <f aca="false">(J92-2451545)/36525</f>
        <v>0.222464065708419</v>
      </c>
      <c r="M92" s="46" t="n">
        <f aca="false">MOD(280.46061837+360.98564736629*(J92-2451545)+0.000387933*L92^2-L92^3/38710000+$B$7,360)</f>
        <v>204.338312357664</v>
      </c>
      <c r="N92" s="47" t="n">
        <f aca="false">0.606433+1336.855225*L92 - INT(0.606433+1336.855225*L92)</f>
        <v>0.00868161704312342</v>
      </c>
      <c r="O92" s="46" t="n">
        <f aca="false">22640*SIN(P92)-4586*SIN(P92-2*R92)+2370*SIN(2*R92)+769*SIN(2*P92)-668*SIN(Q92)-412*SIN(2*S92)-212*SIN(2*P92-2*R92)-206*SIN(P92+Q92-2*R92)+192*SIN(P92+2*R92)-165*SIN(Q92-2*R92)-125*SIN(R92)-110*SIN(P92+Q92)+148*SIN(P92-Q92)-55*SIN(2*S92-2*R92)</f>
        <v>17527.7810065475</v>
      </c>
      <c r="P92" s="48" t="n">
        <f aca="false">2*PI()*(0.374897+1325.55241*L92 - INT(0.374897+1325.55241*L92))</f>
        <v>1.65043845381131</v>
      </c>
      <c r="Q92" s="51" t="n">
        <f aca="false">2*PI()*(0.993133+99.997361*L92 - INT(0.993133+99.997361*L92))</f>
        <v>1.50138276279935</v>
      </c>
      <c r="R92" s="51" t="n">
        <f aca="false">2*PI()*(0.827361+1236.853086*L92 - INT(0.827361+1236.853086*L92))</f>
        <v>6.17465707613778</v>
      </c>
      <c r="S92" s="51" t="n">
        <f aca="false">2*PI()*(0.259086+1342.227825*L92 - INT(0.259086+1342.227825*L92))</f>
        <v>5.38183131373817</v>
      </c>
      <c r="T92" s="51" t="n">
        <f aca="false">S92+(O92+412*SIN(2*S92)+541*SIN(Q92))/206264.8062</f>
        <v>5.46748096117289</v>
      </c>
      <c r="U92" s="51" t="n">
        <f aca="false">S92-2*R92</f>
        <v>-6.9674828385374</v>
      </c>
      <c r="V92" s="50" t="n">
        <f aca="false">-526*SIN(U92)+44*SIN(P92+U92)-31*SIN(-P92+U92)-23*SIN(Q92+U92)+11*SIN(-Q92+U92)-25*SIN(-2*P92+S92)+21*SIN(-P92+S92)</f>
        <v>331.83152459878</v>
      </c>
      <c r="W92" s="51" t="n">
        <f aca="false">2*PI()*(N92+O92/1296000-INT(N92+O92/1296000))</f>
        <v>0.139525288962574</v>
      </c>
      <c r="X92" s="46" t="n">
        <f aca="false">W92*180/PI()</f>
        <v>7.99421019289873</v>
      </c>
      <c r="Y92" s="51" t="n">
        <f aca="false">(18520*SIN(T92)+V92)/206264.8062</f>
        <v>-0.0637752521238051</v>
      </c>
      <c r="Z92" s="51" t="n">
        <f aca="false">Y92*180/PI()</f>
        <v>-3.65405278407677</v>
      </c>
      <c r="AA92" s="51" t="n">
        <f aca="false">COS(Y92)*COS(W92)</f>
        <v>0.988268931062434</v>
      </c>
      <c r="AB92" s="51" t="n">
        <f aca="false">COS(Y92)*SIN(W92)</f>
        <v>0.138790303648343</v>
      </c>
      <c r="AC92" s="51" t="n">
        <f aca="false">SIN(Y92)</f>
        <v>-0.0637320289172961</v>
      </c>
      <c r="AD92" s="51" t="n">
        <f aca="false">COS($A$10*(23.4393-46.815*L92/3600))*AB92-SIN($A$10*(23.4393-46.815*L92/3600))*AC92</f>
        <v>0.152688594629582</v>
      </c>
      <c r="AE92" s="51" t="n">
        <f aca="false">SIN($A$10*(23.4393-46.815*L92/3600))*AB92+COS($A$10*(23.4393-46.815*L92/3600))*AC92</f>
        <v>-0.00327306687336186</v>
      </c>
      <c r="AF92" s="51" t="n">
        <f aca="false">SQRT(1-AE92*AE92)</f>
        <v>0.999994643502275</v>
      </c>
      <c r="AG92" s="46" t="n">
        <f aca="false">ATAN(AE92/AF92)/$A$10</f>
        <v>-0.187533252748315</v>
      </c>
      <c r="AH92" s="51" t="n">
        <f aca="false">IF(24*ATAN(AD92/(AA92+AF92))/PI()&gt;0,24*ATAN(AD92/(AA92+AF92))/PI(),24*ATAN(AD92/(AA92+AF92))/PI()+24)</f>
        <v>0.585520950591213</v>
      </c>
      <c r="AI92" s="46" t="n">
        <f aca="false">IF(M92-15*AH92&gt;0,M92-15*AH92,360+M92-15*AH92)</f>
        <v>195.555498098796</v>
      </c>
      <c r="AJ92" s="48" t="n">
        <f aca="false">0.950724+0.051818*COS(P92)+0.009531*COS(2*R92-P92)+0.007843*COS(2*R92)+0.002824*COS(2*P92)+0.000857*COS(2*R92+P92)+0.000533*COS(2*R92-Q92)*(1-0.002495*(J92-2415020)/36525)+0.000401*COS(2*R92-Q92-P92)*(1-0.002495*(J92-2415020)/36525)+0.00032*COS(P92-Q92)*(1-0.002495*(J92-2415020)/36525)-0.000271*COS(R92)</f>
        <v>0.948381466133277</v>
      </c>
      <c r="AK92" s="51" t="n">
        <f aca="false">ASIN(COS($A$10*$B$5)*COS($A$10*AG92)*COS($A$10*AI92)+SIN($A$10*$B$5)*SIN($A$10*AG92))/$A$10</f>
        <v>-38.4438247552131</v>
      </c>
      <c r="AL92" s="48" t="n">
        <f aca="false">ASIN((0.9983271+0.0016764*COS($A$10*2*$B$5))*COS($A$10*AK92)*SIN($A$10*AJ92))/$A$10</f>
        <v>0.741317539757491</v>
      </c>
      <c r="AM92" s="48" t="n">
        <f aca="false">AK92-AL92</f>
        <v>-39.1851422949706</v>
      </c>
      <c r="AN92" s="46" t="n">
        <f aca="false"> MOD(280.4664567 + 360007.6982779*L92/10 + 0.03032028*L92^2/100 + L92^3/49931000,360)</f>
        <v>9.34409622894418</v>
      </c>
      <c r="AO92" s="48" t="n">
        <f aca="false"> AN92 + (1.9146 - 0.004817*L92 - 0.000014*L92^2)*SIN(Q92)+ (0.019993 - 0.000101*L92)*SIN(2*Q92)+ 0.00029*SIN(3*Q92)</f>
        <v>11.255495676379</v>
      </c>
      <c r="AP92" s="48" t="n">
        <f aca="false">ACOS(COS(W92-$A$10*AO92)*COS(Y92))/$A$10</f>
        <v>4.89629021594533</v>
      </c>
      <c r="AQ92" s="50" t="n">
        <f aca="false">180 - AP92 -0.1468*(1-0.0549*SIN(Q92))*SIN($A$10*AP92)/(1-0.0167*SIN($A$10*AO92))</f>
        <v>175.091827544794</v>
      </c>
      <c r="AR92" s="44" t="n">
        <f aca="false">SIN($A$10*AI92)</f>
        <v>-0.268171646682906</v>
      </c>
      <c r="AS92" s="44" t="n">
        <f aca="false">COS($A$10*AI92)*SIN($A$10*$B$5) - TAN($A$10*AG92)*COS($A$10*$B$5)</f>
        <v>-0.735881216133902</v>
      </c>
      <c r="AT92" s="71" t="n">
        <f aca="false">IF(OR(AND(AR92*AS92&gt;0), AND(AR92&lt;0,AS92&gt;0)), MOD(ATAN2(AS92,AR92)/$A$10+360,360),  ATAN2(AS92,AR92)/$A$10)</f>
        <v>200.022876581962</v>
      </c>
      <c r="AU92" s="39" t="n">
        <f aca="false"> 385000.56 + (-20905355*COS(P92) - 3699111*COS(2*R92-P92) - 2955968*COS(2*R92) - 569925*COS(2*P92) + (1-0.002516*L92)*48888*COS(Q92) - 3149*COS(2*S92)  +246158*COS(2*R92-2*P92) -(1 - 0.002516*L92)*152138*COS(2*R92-Q92-P92) -170733*COS(2*R92+P92) -(1 - 0.002516*L92)*204586*COS(2*R92-Q92) -(1 - 0.002516*L92)*129620*COS(Q92-P92)  + 108743*COS(R92) +(1-0.002516*L92)*104755*COS(Q92+P92) +10321*COS(2*R92-2*S92) +79661*COS(P92-2*S92) -34782*COS(4*R92-P92) -23210*COS(3*P92)  -21636*COS(4*R92-2*P92) +(1 - 0.002516*L92)*24208*COS(2*R92+Q92-P92) +(1 - 0.002516*L92)*30824*COS(2*R92+Q92) -8379*COS(R92-P92) -(1 - 0.002516*L92)*16675*COS(R92+Q92)  -(1 - 0.002516*L92)*12831*COS(2*R92-Q92+P92) -10445*COS(2*R92+2*P92) -11650*COS(4*R92) +14403*COS(2*R92-3*P92) -(1-0.002516*L92)*7003*COS(Q92-2*P92)  + (1 - 0.002516*L92)*10056*COS(2*R92-Q92-2*P92) +6322*COS(R92+P92) -(1 - 0.002516*L92)*(1-0.002516*L92)*9884*COS(2*R92-2*Q92) +(1-0.002516*L92)*5751*COS(Q92+2*P92) - (1-0.002516*L92)^2*4950*COS(2*R92-2*Q92-P92)  +4130*COS(2*R92+P92-2*S92) -(1-0.002516*L92)*3958*COS(4*R92-Q92-P92) +3258*COS(3*R92-P92) +(1 - 0.002516*L92)*2616*COS(2*R92+Q92+P92) -(1 - 0.002516*L92)*1897*COS(4*R92-Q92-2*P92)  -(1-0.002516*L92)^2*2117*COS(2*Q92-P92) +(1-0.002516*L92)^2*2354*COS(2*R92+2*Q92-P92) -1423*COS(4*R92+P92) -1117*COS(4*P92) -(1-0.002516*L92)*1571*COS(4*R92-Q92)  -1739*COS(R92-2*P92) -4421*COS(2*P92-2*S92) +(1-0.002516*L92)^2*1165*COS(2*Q92+P92) +8752*COS(2*R92-P92-2*S92))/1000</f>
        <v>385220.785359909</v>
      </c>
      <c r="AV92" s="72" t="n">
        <f aca="false">ATAN(0.99664719*TAN($A$10*input!$E$2))</f>
        <v>0.871010436227447</v>
      </c>
      <c r="AW92" s="72" t="n">
        <f aca="false">COS(AV92)</f>
        <v>0.644053912545845</v>
      </c>
      <c r="AX92" s="72" t="n">
        <f aca="false">0.99664719*SIN(AV92)</f>
        <v>0.762415269897027</v>
      </c>
      <c r="AY92" s="72" t="n">
        <f aca="false">6378.14/AU92</f>
        <v>0.0165571024264461</v>
      </c>
      <c r="AZ92" s="73" t="n">
        <f aca="false">M92-15*AH92</f>
        <v>195.555498098796</v>
      </c>
      <c r="BA92" s="74" t="n">
        <f aca="false">COS($A$10*AG92)*SIN($A$10*AZ92)</f>
        <v>-0.26817021022209</v>
      </c>
      <c r="BB92" s="74" t="n">
        <f aca="false">COS($A$10*AG92)*COS($A$10*AZ92)-AW92*AY92</f>
        <v>-0.97402965384429</v>
      </c>
      <c r="BC92" s="74" t="n">
        <f aca="false">SIN($A$10*AG92)-AX92*AY92</f>
        <v>-0.0158964545885335</v>
      </c>
      <c r="BD92" s="75" t="n">
        <f aca="false">SQRT(BA92^2+BB92^2+BC92^2)</f>
        <v>1.01039681585359</v>
      </c>
      <c r="BE92" s="58" t="n">
        <f aca="false">AU92*BD92</f>
        <v>389225.854928271</v>
      </c>
      <c r="BH92" s="69"/>
      <c r="BI92" s="69"/>
      <c r="BJ92" s="69"/>
      <c r="BK92" s="69"/>
      <c r="BL92" s="69"/>
    </row>
    <row r="93" customFormat="false" ht="15" hidden="false" customHeight="false" outlineLevel="0" collapsed="false">
      <c r="D93" s="41" t="n">
        <f aca="false">K93-INT(275*E93/9)+IF($A$8="common year",2,1)*INT((E93+9)/12)+30</f>
        <v>2</v>
      </c>
      <c r="E93" s="41" t="n">
        <f aca="false">IF(K93&lt;32,1,INT(9*(IF($A$8="common year",2,1)+K93)/275+0.98))</f>
        <v>4</v>
      </c>
      <c r="F93" s="42" t="n">
        <f aca="false">AM93</f>
        <v>-34.9517098973695</v>
      </c>
      <c r="G93" s="60" t="n">
        <f aca="false">F93+1.02/(TAN($A$10*(F93+10.3/(F93+5.11)))*60)</f>
        <v>-34.9757226447667</v>
      </c>
      <c r="H93" s="43" t="n">
        <f aca="false">100*(1+COS($A$10*AQ93))/2</f>
        <v>0.646369396881147</v>
      </c>
      <c r="I93" s="43" t="n">
        <f aca="false">IF(AI93&gt;180,AT93-180,AT93+180)</f>
        <v>5.85182649047619</v>
      </c>
      <c r="J93" s="61" t="n">
        <f aca="false">$J$2+K92</f>
        <v>2459671.5</v>
      </c>
      <c r="K93" s="21" t="n">
        <v>92</v>
      </c>
      <c r="L93" s="62" t="n">
        <f aca="false">(J93-2451545)/36525</f>
        <v>0.22249144421629</v>
      </c>
      <c r="M93" s="63" t="n">
        <f aca="false">MOD(280.46061837+360.98564736629*(J93-2451545)+0.000387933*L93^2-L93^3/38710000+$B$7,360)</f>
        <v>205.323959728703</v>
      </c>
      <c r="N93" s="30" t="n">
        <f aca="false">0.606433+1336.855225*L93 - INT(0.606433+1336.855225*L93)</f>
        <v>0.0452827183435716</v>
      </c>
      <c r="O93" s="35" t="n">
        <f aca="false">22640*SIN(P93)-4586*SIN(P93-2*R93)+2370*SIN(2*R93)+769*SIN(2*P93)-668*SIN(Q93)-412*SIN(2*S93)-212*SIN(2*P93-2*R93)-206*SIN(P93+Q93-2*R93)+192*SIN(P93+2*R93)-165*SIN(Q93-2*R93)-125*SIN(R93)-110*SIN(P93+Q93)+148*SIN(P93-Q93)-55*SIN(2*S93-2*R93)</f>
        <v>17017.1447916008</v>
      </c>
      <c r="P93" s="32" t="n">
        <f aca="false">2*PI()*(0.374897+1325.55241*L93 - INT(0.374897+1325.55241*L93))</f>
        <v>1.87846559758712</v>
      </c>
      <c r="Q93" s="36" t="n">
        <f aca="false">2*PI()*(0.993133+99.997361*L93 - INT(0.993133+99.997361*L93))</f>
        <v>1.51858473266636</v>
      </c>
      <c r="R93" s="36" t="n">
        <f aca="false">2*PI()*(0.827361+1236.853086*L93 - INT(0.827361+1236.853086*L93))</f>
        <v>0.104240479077222</v>
      </c>
      <c r="S93" s="36" t="n">
        <f aca="false">2*PI()*(0.259086+1342.227825*L93 - INT(0.259086+1342.227825*L93))</f>
        <v>5.61272703307917</v>
      </c>
      <c r="T93" s="36" t="n">
        <f aca="false">S93+(O93+412*SIN(2*S93)+541*SIN(Q93))/206264.8062</f>
        <v>5.69590285950659</v>
      </c>
      <c r="U93" s="36" t="n">
        <f aca="false">S93-2*R93</f>
        <v>5.40424607492473</v>
      </c>
      <c r="V93" s="34" t="n">
        <f aca="false">-526*SIN(U93)+44*SIN(P93+U93)-31*SIN(-P93+U93)-23*SIN(Q93+U93)+11*SIN(-Q93+U93)-25*SIN(-2*P93+S93)+21*SIN(-P93+S93)</f>
        <v>396.784604573909</v>
      </c>
      <c r="W93" s="36" t="n">
        <f aca="false">2*PI()*(N93+O93/1296000-INT(N93+O93/1296000))</f>
        <v>0.36702115664938</v>
      </c>
      <c r="X93" s="35" t="n">
        <f aca="false">W93*180/PI()</f>
        <v>21.0287632680193</v>
      </c>
      <c r="Y93" s="36" t="n">
        <f aca="false">(18520*SIN(T93)+V93)/206264.8062</f>
        <v>-0.0478276602532912</v>
      </c>
      <c r="Z93" s="36" t="n">
        <f aca="false">Y93*180/PI()</f>
        <v>-2.74032307649918</v>
      </c>
      <c r="AA93" s="36" t="n">
        <f aca="false">COS(Y93)*COS(W93)</f>
        <v>0.93233303697219</v>
      </c>
      <c r="AB93" s="36" t="n">
        <f aca="false">COS(Y93)*SIN(W93)</f>
        <v>0.358426236133776</v>
      </c>
      <c r="AC93" s="36" t="n">
        <f aca="false">SIN(Y93)</f>
        <v>-0.0478094281621155</v>
      </c>
      <c r="AD93" s="36" t="n">
        <f aca="false">COS($A$10*(23.4393-46.815*L93/3600))*AB93-SIN($A$10*(23.4393-46.815*L93/3600))*AC93</f>
        <v>0.347872109454135</v>
      </c>
      <c r="AE93" s="36" t="n">
        <f aca="false">SIN($A$10*(23.4393-46.815*L93/3600))*AB93+COS($A$10*(23.4393-46.815*L93/3600))*AC93</f>
        <v>0.098691963371614</v>
      </c>
      <c r="AF93" s="36" t="n">
        <f aca="false">SQRT(1-AE93*AE93)</f>
        <v>0.995118031374096</v>
      </c>
      <c r="AG93" s="35" t="n">
        <f aca="false">ATAN(AE93/AF93)/$A$10</f>
        <v>5.66385289370165</v>
      </c>
      <c r="AH93" s="36" t="n">
        <f aca="false">IF(24*ATAN(AD93/(AA93+AF93))/PI()&gt;0,24*ATAN(AD93/(AA93+AF93))/PI(),24*ATAN(AD93/(AA93+AF93))/PI()+24)</f>
        <v>1.36410341724709</v>
      </c>
      <c r="AI93" s="63" t="n">
        <f aca="false">IF(M93-15*AH93&gt;0,M93-15*AH93,360+M93-15*AH93)</f>
        <v>184.862408469997</v>
      </c>
      <c r="AJ93" s="32" t="n">
        <f aca="false">0.950724+0.051818*COS(P93)+0.009531*COS(2*R93-P93)+0.007843*COS(2*R93)+0.002824*COS(2*P93)+0.000857*COS(2*R93+P93)+0.000533*COS(2*R93-Q93)*(1-0.002495*(J93-2415020)/36525)+0.000401*COS(2*R93-Q93-P93)*(1-0.002495*(J93-2415020)/36525)+0.00032*COS(P93-Q93)*(1-0.002495*(J93-2415020)/36525)-0.000271*COS(R93)</f>
        <v>0.93879859520759</v>
      </c>
      <c r="AK93" s="36" t="n">
        <f aca="false">ASIN(COS($A$10*$B$5)*COS($A$10*AG93)*COS($A$10*AI93)+SIN($A$10*$B$5)*SIN($A$10*AG93))/$A$10</f>
        <v>-34.1765685186865</v>
      </c>
      <c r="AL93" s="32" t="n">
        <f aca="false">ASIN((0.9983271+0.0016764*COS($A$10*2*$B$5))*COS($A$10*AK93)*SIN($A$10*AJ93))/$A$10</f>
        <v>0.775141378682948</v>
      </c>
      <c r="AM93" s="32" t="n">
        <f aca="false">AK93-AL93</f>
        <v>-34.9517098973695</v>
      </c>
      <c r="AN93" s="35" t="n">
        <f aca="false"> MOD(280.4664567 + 360007.6982779*L93/10 + 0.03032028*L93^2/100 + L93^3/49931000,360)</f>
        <v>10.3297435927416</v>
      </c>
      <c r="AO93" s="32" t="n">
        <f aca="false"> AN93 + (1.9146 - 0.004817*L93 - 0.000014*L93^2)*SIN(Q93)+ (0.019993 - 0.000101*L93)*SIN(2*Q93)+ 0.00029*SIN(3*Q93)</f>
        <v>12.2424587130484</v>
      </c>
      <c r="AP93" s="32" t="n">
        <f aca="false">ACOS(COS(W93-$A$10*AO93)*COS(Y93))/$A$10</f>
        <v>9.2005191647433</v>
      </c>
      <c r="AQ93" s="34" t="n">
        <f aca="false">180 - AP93 -0.1468*(1-0.0549*SIN(Q93))*SIN($A$10*AP93)/(1-0.0167*SIN($A$10*AO93))</f>
        <v>170.777216972362</v>
      </c>
      <c r="AR93" s="64" t="n">
        <f aca="false">SIN($A$10*AI93)</f>
        <v>-0.0847632066669178</v>
      </c>
      <c r="AS93" s="64" t="n">
        <f aca="false">COS($A$10*AI93)*SIN($A$10*$B$5) - TAN($A$10*AG93)*COS($A$10*$B$5)</f>
        <v>-0.827036736519929</v>
      </c>
      <c r="AT93" s="24" t="n">
        <f aca="false">IF(OR(AND(AR93*AS93&gt;0), AND(AR93&lt;0,AS93&gt;0)), MOD(ATAN2(AS93,AR93)/$A$10+360,360),  ATAN2(AS93,AR93)/$A$10)</f>
        <v>185.851826490476</v>
      </c>
      <c r="AU93" s="39" t="n">
        <f aca="false"> 385000.56 + (-20905355*COS(P93) - 3699111*COS(2*R93-P93) - 2955968*COS(2*R93) - 569925*COS(2*P93) + (1-0.002516*L93)*48888*COS(Q93) - 3149*COS(2*S93)  +246158*COS(2*R93-2*P93) -(1 - 0.002516*L93)*152138*COS(2*R93-Q93-P93) -170733*COS(2*R93+P93) -(1 - 0.002516*L93)*204586*COS(2*R93-Q93) -(1 - 0.002516*L93)*129620*COS(Q93-P93)  + 108743*COS(R93) +(1-0.002516*L93)*104755*COS(Q93+P93) +10321*COS(2*R93-2*S93) +79661*COS(P93-2*S93) -34782*COS(4*R93-P93) -23210*COS(3*P93)  -21636*COS(4*R93-2*P93) +(1 - 0.002516*L93)*24208*COS(2*R93+Q93-P93) +(1 - 0.002516*L93)*30824*COS(2*R93+Q93) -8379*COS(R93-P93) -(1 - 0.002516*L93)*16675*COS(R93+Q93)  -(1 - 0.002516*L93)*12831*COS(2*R93-Q93+P93) -10445*COS(2*R93+2*P93) -11650*COS(4*R93) +14403*COS(2*R93-3*P93) -(1-0.002516*L93)*7003*COS(Q93-2*P93)  + (1 - 0.002516*L93)*10056*COS(2*R93-Q93-2*P93) +6322*COS(R93+P93) -(1 - 0.002516*L93)*(1-0.002516*L93)*9884*COS(2*R93-2*Q93) +(1-0.002516*L93)*5751*COS(Q93+2*P93) - (1-0.002516*L93)^2*4950*COS(2*R93-2*Q93-P93)  +4130*COS(2*R93+P93-2*S93) -(1-0.002516*L93)*3958*COS(4*R93-Q93-P93) +3258*COS(3*R93-P93) +(1 - 0.002516*L93)*2616*COS(2*R93+Q93+P93) -(1 - 0.002516*L93)*1897*COS(4*R93-Q93-2*P93)  -(1-0.002516*L93)^2*2117*COS(2*Q93-P93) +(1-0.002516*L93)^2*2354*COS(2*R93+2*Q93-P93) -1423*COS(4*R93+P93) -1117*COS(4*P93) -(1-0.002516*L93)*1571*COS(4*R93-Q93)  -1739*COS(R93-2*P93) -4421*COS(2*P93-2*S93) +(1-0.002516*L93)^2*1165*COS(2*Q93+P93) +8752*COS(2*R93-P93-2*S93))/1000</f>
        <v>389075.506819948</v>
      </c>
      <c r="AV93" s="54" t="n">
        <f aca="false">ATAN(0.99664719*TAN($A$10*input!$E$2))</f>
        <v>0.871010436227447</v>
      </c>
      <c r="AW93" s="54" t="n">
        <f aca="false">COS(AV93)</f>
        <v>0.644053912545845</v>
      </c>
      <c r="AX93" s="54" t="n">
        <f aca="false">0.99664719*SIN(AV93)</f>
        <v>0.762415269897027</v>
      </c>
      <c r="AY93" s="54" t="n">
        <f aca="false">6378.14/AU93</f>
        <v>0.0163930648118428</v>
      </c>
      <c r="AZ93" s="55" t="n">
        <f aca="false">M93-15*AH93</f>
        <v>184.862408469997</v>
      </c>
      <c r="BA93" s="56" t="n">
        <f aca="false">COS($A$10*AG93)*SIN($A$10*AZ93)</f>
        <v>-0.0843493953513389</v>
      </c>
      <c r="BB93" s="56" t="n">
        <f aca="false">COS($A$10*AG93)*COS($A$10*AZ93)-AW93*AY93</f>
        <v>-1.00209474194876</v>
      </c>
      <c r="BC93" s="56" t="n">
        <f aca="false">SIN($A$10*AG93)-AX93*AY93</f>
        <v>0.0861936404386534</v>
      </c>
      <c r="BD93" s="57" t="n">
        <f aca="false">SQRT(BA93^2+BB93^2+BC93^2)</f>
        <v>1.00932553519147</v>
      </c>
      <c r="BE93" s="58" t="n">
        <f aca="false">AU93*BD93</f>
        <v>392703.844150937</v>
      </c>
    </row>
    <row r="94" customFormat="false" ht="15" hidden="false" customHeight="false" outlineLevel="0" collapsed="false">
      <c r="D94" s="41" t="n">
        <f aca="false">K94-INT(275*E94/9)+IF($A$8="common year",2,1)*INT((E94+9)/12)+30</f>
        <v>3</v>
      </c>
      <c r="E94" s="41" t="n">
        <f aca="false">IF(K94&lt;32,1,INT(9*(IF($A$8="common year",2,1)+K94)/275+0.98))</f>
        <v>4</v>
      </c>
      <c r="F94" s="42" t="n">
        <f aca="false">AM94</f>
        <v>-29.4364269751888</v>
      </c>
      <c r="G94" s="60" t="n">
        <f aca="false">F94+1.02/(TAN($A$10*(F94+10.3/(F94+5.11)))*60)</f>
        <v>-29.4660388984995</v>
      </c>
      <c r="H94" s="43" t="n">
        <f aca="false">100*(1+COS($A$10*AQ94))/2</f>
        <v>3.21388193533326</v>
      </c>
      <c r="I94" s="43" t="n">
        <f aca="false">IF(AI94&gt;180,AT94-180,AT94+180)</f>
        <v>353.507287194977</v>
      </c>
      <c r="J94" s="61" t="n">
        <f aca="false">$J$2+K93</f>
        <v>2459672.5</v>
      </c>
      <c r="K94" s="21" t="n">
        <v>93</v>
      </c>
      <c r="L94" s="62" t="n">
        <f aca="false">(J94-2451545)/36525</f>
        <v>0.222518822724162</v>
      </c>
      <c r="M94" s="63" t="n">
        <f aca="false">MOD(280.46061837+360.98564736629*(J94-2451545)+0.000387933*L94^2-L94^3/38710000+$B$7,360)</f>
        <v>206.309607100207</v>
      </c>
      <c r="N94" s="30" t="n">
        <f aca="false">0.606433+1336.855225*L94 - INT(0.606433+1336.855225*L94)</f>
        <v>0.0818838196440765</v>
      </c>
      <c r="O94" s="35" t="n">
        <f aca="false">22640*SIN(P94)-4586*SIN(P94-2*R94)+2370*SIN(2*R94)+769*SIN(2*P94)-668*SIN(Q94)-412*SIN(2*S94)-212*SIN(2*P94-2*R94)-206*SIN(P94+Q94-2*R94)+192*SIN(P94+2*R94)-165*SIN(Q94-2*R94)-125*SIN(R94)-110*SIN(P94+Q94)+148*SIN(P94-Q94)-55*SIN(2*S94-2*R94)</f>
        <v>15439.8269128442</v>
      </c>
      <c r="P94" s="32" t="n">
        <f aca="false">2*PI()*(0.374897+1325.55241*L94 - INT(0.374897+1325.55241*L94))</f>
        <v>2.10649274136258</v>
      </c>
      <c r="Q94" s="36" t="n">
        <f aca="false">2*PI()*(0.993133+99.997361*L94 - INT(0.993133+99.997361*L94))</f>
        <v>1.53578670253334</v>
      </c>
      <c r="R94" s="36" t="n">
        <f aca="false">2*PI()*(0.827361+1236.853086*L94 - INT(0.827361+1236.853086*L94))</f>
        <v>0.317009189196246</v>
      </c>
      <c r="S94" s="36" t="n">
        <f aca="false">2*PI()*(0.259086+1342.227825*L94 - INT(0.259086+1342.227825*L94))</f>
        <v>5.84362275242018</v>
      </c>
      <c r="T94" s="36" t="n">
        <f aca="false">S94+(O94+412*SIN(2*S94)+541*SIN(Q94))/206264.8062</f>
        <v>5.91955999570535</v>
      </c>
      <c r="U94" s="36" t="n">
        <f aca="false">S94-2*R94</f>
        <v>5.20960437402768</v>
      </c>
      <c r="V94" s="34" t="n">
        <f aca="false">-526*SIN(U94)+44*SIN(P94+U94)-31*SIN(-P94+U94)-23*SIN(Q94+U94)+11*SIN(-Q94+U94)-25*SIN(-2*P94+S94)+21*SIN(-P94+S94)</f>
        <v>446.329699501086</v>
      </c>
      <c r="W94" s="36" t="n">
        <f aca="false">2*PI()*(N94+O94/1296000-INT(N94+O94/1296000))</f>
        <v>0.589345605696505</v>
      </c>
      <c r="X94" s="35" t="n">
        <f aca="false">W94*180/PI()</f>
        <v>33.7670158809909</v>
      </c>
      <c r="Y94" s="36" t="n">
        <f aca="false">(18520*SIN(T94)+V94)/206264.8062</f>
        <v>-0.0297703861138527</v>
      </c>
      <c r="Z94" s="36" t="n">
        <f aca="false">Y94*180/PI()</f>
        <v>-1.70571747879863</v>
      </c>
      <c r="AA94" s="36" t="n">
        <f aca="false">COS(Y94)*COS(W94)</f>
        <v>0.83093622524392</v>
      </c>
      <c r="AB94" s="36" t="n">
        <f aca="false">COS(Y94)*SIN(W94)</f>
        <v>0.555570855503955</v>
      </c>
      <c r="AC94" s="36" t="n">
        <f aca="false">SIN(Y94)</f>
        <v>-0.0297659888461452</v>
      </c>
      <c r="AD94" s="36" t="n">
        <f aca="false">COS($A$10*(23.4393-46.815*L94/3600))*AB94-SIN($A$10*(23.4393-46.815*L94/3600))*AC94</f>
        <v>0.521576275628669</v>
      </c>
      <c r="AE94" s="36" t="n">
        <f aca="false">SIN($A$10*(23.4393-46.815*L94/3600))*AB94+COS($A$10*(23.4393-46.815*L94/3600))*AC94</f>
        <v>0.193657373416846</v>
      </c>
      <c r="AF94" s="36" t="n">
        <f aca="false">SQRT(1-AE94*AE94)</f>
        <v>0.981069223715273</v>
      </c>
      <c r="AG94" s="35" t="n">
        <f aca="false">ATAN(AE94/AF94)/$A$10</f>
        <v>11.1663017520153</v>
      </c>
      <c r="AH94" s="36" t="n">
        <f aca="false">IF(24*ATAN(AD94/(AA94+AF94))/PI()&gt;0,24*ATAN(AD94/(AA94+AF94))/PI(),24*ATAN(AD94/(AA94+AF94))/PI()+24)</f>
        <v>2.14109158764426</v>
      </c>
      <c r="AI94" s="63" t="n">
        <f aca="false">IF(M94-15*AH94&gt;0,M94-15*AH94,360+M94-15*AH94)</f>
        <v>174.193233285544</v>
      </c>
      <c r="AJ94" s="32" t="n">
        <f aca="false">0.950724+0.051818*COS(P94)+0.009531*COS(2*R94-P94)+0.007843*COS(2*R94)+0.002824*COS(2*P94)+0.000857*COS(2*R94+P94)+0.000533*COS(2*R94-Q94)*(1-0.002495*(J94-2415020)/36525)+0.000401*COS(2*R94-Q94-P94)*(1-0.002495*(J94-2415020)/36525)+0.00032*COS(P94-Q94)*(1-0.002495*(J94-2415020)/36525)-0.000271*COS(R94)</f>
        <v>0.929331261253667</v>
      </c>
      <c r="AK94" s="36" t="n">
        <f aca="false">ASIN(COS($A$10*$B$5)*COS($A$10*AG94)*COS($A$10*AI94)+SIN($A$10*$B$5)*SIN($A$10*AG94))/$A$10</f>
        <v>-28.6222734132138</v>
      </c>
      <c r="AL94" s="32" t="n">
        <f aca="false">ASIN((0.9983271+0.0016764*COS($A$10*2*$B$5))*COS($A$10*AK94)*SIN($A$10*AJ94))/$A$10</f>
        <v>0.814153561974979</v>
      </c>
      <c r="AM94" s="32" t="n">
        <f aca="false">AK94-AL94</f>
        <v>-29.4364269751888</v>
      </c>
      <c r="AN94" s="35" t="n">
        <f aca="false"> MOD(280.4664567 + 360007.6982779*L94/10 + 0.03032028*L94^2/100 + L94^3/49931000,360)</f>
        <v>11.315390956539</v>
      </c>
      <c r="AO94" s="32" t="n">
        <f aca="false"> AN94 + (1.9146 - 0.004817*L94 - 0.000014*L94^2)*SIN(Q94)+ (0.019993 - 0.000101*L94)*SIN(2*Q94)+ 0.00029*SIN(3*Q94)</f>
        <v>13.2288546066445</v>
      </c>
      <c r="AP94" s="32" t="n">
        <f aca="false">ACOS(COS(W94-$A$10*AO94)*COS(Y94))/$A$10</f>
        <v>20.6058204793483</v>
      </c>
      <c r="AQ94" s="34" t="n">
        <f aca="false">180 - AP94 -0.1468*(1-0.0549*SIN(Q94))*SIN($A$10*AP94)/(1-0.0167*SIN($A$10*AO94))</f>
        <v>159.345162514603</v>
      </c>
      <c r="AR94" s="64" t="n">
        <f aca="false">SIN($A$10*AI94)</f>
        <v>0.101173793329022</v>
      </c>
      <c r="AS94" s="64" t="n">
        <f aca="false">COS($A$10*AI94)*SIN($A$10*$B$5) - TAN($A$10*AG94)*COS($A$10*$B$5)</f>
        <v>-0.888996235824706</v>
      </c>
      <c r="AT94" s="24" t="n">
        <f aca="false">IF(OR(AND(AR94*AS94&gt;0), AND(AR94&lt;0,AS94&gt;0)), MOD(ATAN2(AS94,AR94)/$A$10+360,360),  ATAN2(AS94,AR94)/$A$10)</f>
        <v>173.507287194977</v>
      </c>
      <c r="AU94" s="39" t="n">
        <f aca="false"> 385000.56 + (-20905355*COS(P94) - 3699111*COS(2*R94-P94) - 2955968*COS(2*R94) - 569925*COS(2*P94) + (1-0.002516*L94)*48888*COS(Q94) - 3149*COS(2*S94)  +246158*COS(2*R94-2*P94) -(1 - 0.002516*L94)*152138*COS(2*R94-Q94-P94) -170733*COS(2*R94+P94) -(1 - 0.002516*L94)*204586*COS(2*R94-Q94) -(1 - 0.002516*L94)*129620*COS(Q94-P94)  + 108743*COS(R94) +(1-0.002516*L94)*104755*COS(Q94+P94) +10321*COS(2*R94-2*S94) +79661*COS(P94-2*S94) -34782*COS(4*R94-P94) -23210*COS(3*P94)  -21636*COS(4*R94-2*P94) +(1 - 0.002516*L94)*24208*COS(2*R94+Q94-P94) +(1 - 0.002516*L94)*30824*COS(2*R94+Q94) -8379*COS(R94-P94) -(1 - 0.002516*L94)*16675*COS(R94+Q94)  -(1 - 0.002516*L94)*12831*COS(2*R94-Q94+P94) -10445*COS(2*R94+2*P94) -11650*COS(4*R94) +14403*COS(2*R94-3*P94) -(1-0.002516*L94)*7003*COS(Q94-2*P94)  + (1 - 0.002516*L94)*10056*COS(2*R94-Q94-2*P94) +6322*COS(R94+P94) -(1 - 0.002516*L94)*(1-0.002516*L94)*9884*COS(2*R94-2*Q94) +(1-0.002516*L94)*5751*COS(Q94+2*P94) - (1-0.002516*L94)^2*4950*COS(2*R94-2*Q94-P94)  +4130*COS(2*R94+P94-2*S94) -(1-0.002516*L94)*3958*COS(4*R94-Q94-P94) +3258*COS(3*R94-P94) +(1 - 0.002516*L94)*2616*COS(2*R94+Q94+P94) -(1 - 0.002516*L94)*1897*COS(4*R94-Q94-2*P94)  -(1-0.002516*L94)^2*2117*COS(2*Q94-P94) +(1-0.002516*L94)^2*2354*COS(2*R94+2*Q94-P94) -1423*COS(4*R94+P94) -1117*COS(4*P94) -(1-0.002516*L94)*1571*COS(4*R94-Q94)  -1739*COS(R94-2*P94) -4421*COS(2*P94-2*S94) +(1-0.002516*L94)^2*1165*COS(2*Q94+P94) +8752*COS(2*R94-P94-2*S94))/1000</f>
        <v>392997.581978391</v>
      </c>
      <c r="AV94" s="54" t="n">
        <f aca="false">ATAN(0.99664719*TAN($A$10*input!$E$2))</f>
        <v>0.871010436227447</v>
      </c>
      <c r="AW94" s="54" t="n">
        <f aca="false">COS(AV94)</f>
        <v>0.644053912545845</v>
      </c>
      <c r="AX94" s="54" t="n">
        <f aca="false">0.99664719*SIN(AV94)</f>
        <v>0.762415269897027</v>
      </c>
      <c r="AY94" s="54" t="n">
        <f aca="false">6378.14/AU94</f>
        <v>0.0162294637231399</v>
      </c>
      <c r="AZ94" s="55" t="n">
        <f aca="false">M94-15*AH94</f>
        <v>174.193233285544</v>
      </c>
      <c r="BA94" s="56" t="n">
        <f aca="false">COS($A$10*AG94)*SIN($A$10*AZ94)</f>
        <v>0.0992584948816332</v>
      </c>
      <c r="BB94" s="56" t="n">
        <f aca="false">COS($A$10*AG94)*COS($A$10*AZ94)-AW94*AY94</f>
        <v>-0.986487778544388</v>
      </c>
      <c r="BC94" s="56" t="n">
        <f aca="false">SIN($A$10*AG94)-AX94*AY94</f>
        <v>0.181283782452084</v>
      </c>
      <c r="BD94" s="57" t="n">
        <f aca="false">SQRT(BA94^2+BB94^2+BC94^2)</f>
        <v>1.00790584669588</v>
      </c>
      <c r="BE94" s="58" t="n">
        <f aca="false">AU94*BD94</f>
        <v>396104.560613364</v>
      </c>
    </row>
    <row r="95" customFormat="false" ht="15" hidden="false" customHeight="false" outlineLevel="0" collapsed="false">
      <c r="D95" s="41" t="n">
        <f aca="false">K95-INT(275*E95/9)+IF($A$8="common year",2,1)*INT((E95+9)/12)+30</f>
        <v>4</v>
      </c>
      <c r="E95" s="41" t="n">
        <f aca="false">IF(K95&lt;32,1,INT(9*(IF($A$8="common year",2,1)+K95)/275+0.98))</f>
        <v>4</v>
      </c>
      <c r="F95" s="42" t="n">
        <f aca="false">AM95</f>
        <v>-23.1328927405907</v>
      </c>
      <c r="G95" s="60" t="n">
        <f aca="false">F95+1.02/(TAN($A$10*(F95+10.3/(F95+5.11)))*60)</f>
        <v>-23.1716117642352</v>
      </c>
      <c r="H95" s="43" t="n">
        <f aca="false">100*(1+COS($A$10*AQ95))/2</f>
        <v>7.6371495454452</v>
      </c>
      <c r="I95" s="43" t="n">
        <f aca="false">IF(AI95&gt;180,AT95-180,AT95+180)</f>
        <v>342.701419809631</v>
      </c>
      <c r="J95" s="61" t="n">
        <f aca="false">$J$2+K94</f>
        <v>2459673.5</v>
      </c>
      <c r="K95" s="21" t="n">
        <v>94</v>
      </c>
      <c r="L95" s="62" t="n">
        <f aca="false">(J95-2451545)/36525</f>
        <v>0.222546201232033</v>
      </c>
      <c r="M95" s="63" t="n">
        <f aca="false">MOD(280.46061837+360.98564736629*(J95-2451545)+0.000387933*L95^2-L95^3/38710000+$B$7,360)</f>
        <v>207.295254471246</v>
      </c>
      <c r="N95" s="30" t="n">
        <f aca="false">0.606433+1336.855225*L95 - INT(0.606433+1336.855225*L95)</f>
        <v>0.118484920944582</v>
      </c>
      <c r="O95" s="35" t="n">
        <f aca="false">22640*SIN(P95)-4586*SIN(P95-2*R95)+2370*SIN(2*R95)+769*SIN(2*P95)-668*SIN(Q95)-412*SIN(2*S95)-212*SIN(2*P95-2*R95)-206*SIN(P95+Q95-2*R95)+192*SIN(P95+2*R95)-165*SIN(Q95-2*R95)-125*SIN(R95)-110*SIN(P95+Q95)+148*SIN(P95-Q95)-55*SIN(2*S95-2*R95)</f>
        <v>12839.5314794025</v>
      </c>
      <c r="P95" s="32" t="n">
        <f aca="false">2*PI()*(0.374897+1325.55241*L95 - INT(0.374897+1325.55241*L95))</f>
        <v>2.3345198851384</v>
      </c>
      <c r="Q95" s="36" t="n">
        <f aca="false">2*PI()*(0.993133+99.997361*L95 - INT(0.993133+99.997361*L95))</f>
        <v>1.55298867240035</v>
      </c>
      <c r="R95" s="36" t="n">
        <f aca="false">2*PI()*(0.827361+1236.853086*L95 - INT(0.827361+1236.853086*L95))</f>
        <v>0.529777899315271</v>
      </c>
      <c r="S95" s="36" t="n">
        <f aca="false">2*PI()*(0.259086+1342.227825*L95 - INT(0.259086+1342.227825*L95))</f>
        <v>6.07451847176118</v>
      </c>
      <c r="T95" s="36" t="n">
        <f aca="false">S95+(O95+412*SIN(2*S95)+541*SIN(Q95))/206264.8062</f>
        <v>6.13857909503906</v>
      </c>
      <c r="U95" s="36" t="n">
        <f aca="false">S95-2*R95</f>
        <v>5.01496267313064</v>
      </c>
      <c r="V95" s="34" t="n">
        <f aca="false">-526*SIN(U95)+44*SIN(P95+U95)-31*SIN(-P95+U95)-23*SIN(Q95+U95)+11*SIN(-Q95+U95)-25*SIN(-2*P95+S95)+21*SIN(-P95+S95)</f>
        <v>480.414605289547</v>
      </c>
      <c r="W95" s="36" t="n">
        <f aca="false">2*PI()*(N95+O95/1296000-INT(N95+O95/1296000))</f>
        <v>0.806710519603838</v>
      </c>
      <c r="X95" s="35" t="n">
        <f aca="false">W95*180/PI()</f>
        <v>46.2211080621056</v>
      </c>
      <c r="Y95" s="36" t="n">
        <f aca="false">(18520*SIN(T95)+V95)/206264.8062</f>
        <v>-0.0106095102103382</v>
      </c>
      <c r="Z95" s="36" t="n">
        <f aca="false">Y95*180/PI()</f>
        <v>-0.607880157753333</v>
      </c>
      <c r="AA95" s="36" t="n">
        <f aca="false">COS(Y95)*COS(W95)</f>
        <v>0.691838287622694</v>
      </c>
      <c r="AB95" s="36" t="n">
        <f aca="false">COS(Y95)*SIN(W95)</f>
        <v>0.721974532996637</v>
      </c>
      <c r="AC95" s="36" t="n">
        <f aca="false">SIN(Y95)</f>
        <v>-0.0106093111740286</v>
      </c>
      <c r="AD95" s="36" t="n">
        <f aca="false">COS($A$10*(23.4393-46.815*L95/3600))*AB95-SIN($A$10*(23.4393-46.815*L95/3600))*AC95</f>
        <v>0.666632795175113</v>
      </c>
      <c r="AE95" s="36" t="n">
        <f aca="false">SIN($A$10*(23.4393-46.815*L95/3600))*AB95+COS($A$10*(23.4393-46.815*L95/3600))*AC95</f>
        <v>0.277417555638274</v>
      </c>
      <c r="AF95" s="36" t="n">
        <f aca="false">SQRT(1-AE95*AE95)</f>
        <v>0.96074944695466</v>
      </c>
      <c r="AG95" s="35" t="n">
        <f aca="false">ATAN(AE95/AF95)/$A$10</f>
        <v>16.1061366451063</v>
      </c>
      <c r="AH95" s="36" t="n">
        <f aca="false">IF(24*ATAN(AD95/(AA95+AF95))/PI()&gt;0,24*ATAN(AD95/(AA95+AF95))/PI(),24*ATAN(AD95/(AA95+AF95))/PI()+24)</f>
        <v>2.92913589078078</v>
      </c>
      <c r="AI95" s="63" t="n">
        <f aca="false">IF(M95-15*AH95&gt;0,M95-15*AH95,360+M95-15*AH95)</f>
        <v>163.358216109535</v>
      </c>
      <c r="AJ95" s="32" t="n">
        <f aca="false">0.950724+0.051818*COS(P95)+0.009531*COS(2*R95-P95)+0.007843*COS(2*R95)+0.002824*COS(2*P95)+0.000857*COS(2*R95+P95)+0.000533*COS(2*R95-Q95)*(1-0.002495*(J95-2415020)/36525)+0.000401*COS(2*R95-Q95-P95)*(1-0.002495*(J95-2415020)/36525)+0.00032*COS(P95-Q95)*(1-0.002495*(J95-2415020)/36525)-0.000271*COS(R95)</f>
        <v>0.920629861603756</v>
      </c>
      <c r="AK95" s="36" t="n">
        <f aca="false">ASIN(COS($A$10*$B$5)*COS($A$10*AG95)*COS($A$10*AI95)+SIN($A$10*$B$5)*SIN($A$10*AG95))/$A$10</f>
        <v>-22.2826900249031</v>
      </c>
      <c r="AL95" s="32" t="n">
        <f aca="false">ASIN((0.9983271+0.0016764*COS($A$10*2*$B$5))*COS($A$10*AK95)*SIN($A$10*AJ95))/$A$10</f>
        <v>0.850202715687587</v>
      </c>
      <c r="AM95" s="32" t="n">
        <f aca="false">AK95-AL95</f>
        <v>-23.1328927405907</v>
      </c>
      <c r="AN95" s="35" t="n">
        <f aca="false"> MOD(280.4664567 + 360007.6982779*L95/10 + 0.03032028*L95^2/100 + L95^3/49931000,360)</f>
        <v>12.3010383203382</v>
      </c>
      <c r="AO95" s="32" t="n">
        <f aca="false"> AN95 + (1.9146 - 0.004817*L95 - 0.000014*L95^2)*SIN(Q95)+ (0.019993 - 0.000101*L95)*SIN(2*Q95)+ 0.00029*SIN(3*Q95)</f>
        <v>14.2146837478781</v>
      </c>
      <c r="AP95" s="32" t="n">
        <f aca="false">ACOS(COS(W95-$A$10*AO95)*COS(Y95))/$A$10</f>
        <v>32.0115831342642</v>
      </c>
      <c r="AQ95" s="34" t="n">
        <f aca="false">180 - AP95 -0.1468*(1-0.0549*SIN(Q95))*SIN($A$10*AP95)/(1-0.0167*SIN($A$10*AO95))</f>
        <v>147.914568207192</v>
      </c>
      <c r="AR95" s="64" t="n">
        <f aca="false">SIN($A$10*AI95)</f>
        <v>0.28638716388848</v>
      </c>
      <c r="AS95" s="64" t="n">
        <f aca="false">COS($A$10*AI95)*SIN($A$10*$B$5) - TAN($A$10*AG95)*COS($A$10*$B$5)</f>
        <v>-0.919563581326277</v>
      </c>
      <c r="AT95" s="24" t="n">
        <f aca="false">IF(OR(AND(AR95*AS95&gt;0), AND(AR95&lt;0,AS95&gt;0)), MOD(ATAN2(AS95,AR95)/$A$10+360,360),  ATAN2(AS95,AR95)/$A$10)</f>
        <v>162.701419809631</v>
      </c>
      <c r="AU95" s="39" t="n">
        <f aca="false"> 385000.56 + (-20905355*COS(P95) - 3699111*COS(2*R95-P95) - 2955968*COS(2*R95) - 569925*COS(2*P95) + (1-0.002516*L95)*48888*COS(Q95) - 3149*COS(2*S95)  +246158*COS(2*R95-2*P95) -(1 - 0.002516*L95)*152138*COS(2*R95-Q95-P95) -170733*COS(2*R95+P95) -(1 - 0.002516*L95)*204586*COS(2*R95-Q95) -(1 - 0.002516*L95)*129620*COS(Q95-P95)  + 108743*COS(R95) +(1-0.002516*L95)*104755*COS(Q95+P95) +10321*COS(2*R95-2*S95) +79661*COS(P95-2*S95) -34782*COS(4*R95-P95) -23210*COS(3*P95)  -21636*COS(4*R95-2*P95) +(1 - 0.002516*L95)*24208*COS(2*R95+Q95-P95) +(1 - 0.002516*L95)*30824*COS(2*R95+Q95) -8379*COS(R95-P95) -(1 - 0.002516*L95)*16675*COS(R95+Q95)  -(1 - 0.002516*L95)*12831*COS(2*R95-Q95+P95) -10445*COS(2*R95+2*P95) -11650*COS(4*R95) +14403*COS(2*R95-3*P95) -(1-0.002516*L95)*7003*COS(Q95-2*P95)  + (1 - 0.002516*L95)*10056*COS(2*R95-Q95-2*P95) +6322*COS(R95+P95) -(1 - 0.002516*L95)*(1-0.002516*L95)*9884*COS(2*R95-2*Q95) +(1-0.002516*L95)*5751*COS(Q95+2*P95) - (1-0.002516*L95)^2*4950*COS(2*R95-2*Q95-P95)  +4130*COS(2*R95+P95-2*S95) -(1-0.002516*L95)*3958*COS(4*R95-Q95-P95) +3258*COS(3*R95-P95) +(1 - 0.002516*L95)*2616*COS(2*R95+Q95+P95) -(1 - 0.002516*L95)*1897*COS(4*R95-Q95-2*P95)  -(1-0.002516*L95)^2*2117*COS(2*Q95-P95) +(1-0.002516*L95)^2*2354*COS(2*R95+2*Q95-P95) -1423*COS(4*R95+P95) -1117*COS(4*P95) -(1-0.002516*L95)*1571*COS(4*R95-Q95)  -1739*COS(R95-2*P95) -4421*COS(2*P95-2*S95) +(1-0.002516*L95)^2*1165*COS(2*Q95+P95) +8752*COS(2*R95-P95-2*S95))/1000</f>
        <v>396729.651258855</v>
      </c>
      <c r="AV95" s="54" t="n">
        <f aca="false">ATAN(0.99664719*TAN($A$10*input!$E$2))</f>
        <v>0.871010436227447</v>
      </c>
      <c r="AW95" s="54" t="n">
        <f aca="false">COS(AV95)</f>
        <v>0.644053912545845</v>
      </c>
      <c r="AX95" s="54" t="n">
        <f aca="false">0.99664719*SIN(AV95)</f>
        <v>0.762415269897027</v>
      </c>
      <c r="AY95" s="54" t="n">
        <f aca="false">6378.14/AU95</f>
        <v>0.0160767917894759</v>
      </c>
      <c r="AZ95" s="55" t="n">
        <f aca="false">M95-15*AH95</f>
        <v>163.358216109535</v>
      </c>
      <c r="BA95" s="56" t="n">
        <f aca="false">COS($A$10*AG95)*SIN($A$10*AZ95)</f>
        <v>0.275146309320771</v>
      </c>
      <c r="BB95" s="56" t="n">
        <f aca="false">COS($A$10*AG95)*COS($A$10*AZ95)-AW95*AY95</f>
        <v>-0.930861793893281</v>
      </c>
      <c r="BC95" s="56" t="n">
        <f aca="false">SIN($A$10*AG95)-AX95*AY95</f>
        <v>0.265160364087023</v>
      </c>
      <c r="BD95" s="57" t="n">
        <f aca="false">SQRT(BA95^2+BB95^2+BC95^2)</f>
        <v>1.00624012519171</v>
      </c>
      <c r="BE95" s="58" t="n">
        <f aca="false">AU95*BD95</f>
        <v>399205.293949972</v>
      </c>
    </row>
    <row r="96" customFormat="false" ht="15" hidden="false" customHeight="false" outlineLevel="0" collapsed="false">
      <c r="D96" s="41" t="n">
        <f aca="false">K96-INT(275*E96/9)+IF($A$8="common year",2,1)*INT((E96+9)/12)+30</f>
        <v>5</v>
      </c>
      <c r="E96" s="41" t="n">
        <f aca="false">IF(K96&lt;32,1,INT(9*(IF($A$8="common year",2,1)+K96)/275+0.98))</f>
        <v>4</v>
      </c>
      <c r="F96" s="42" t="n">
        <f aca="false">AM96</f>
        <v>-16.4037453392503</v>
      </c>
      <c r="G96" s="60" t="n">
        <f aca="false">F96+1.02/(TAN($A$10*(F96+10.3/(F96+5.11)))*60)</f>
        <v>-16.458273242369</v>
      </c>
      <c r="H96" s="43" t="n">
        <f aca="false">100*(1+COS($A$10*AQ96))/2</f>
        <v>13.6261159330702</v>
      </c>
      <c r="I96" s="43" t="n">
        <f aca="false">IF(AI96&gt;180,AT96-180,AT96+180)</f>
        <v>333.012647537968</v>
      </c>
      <c r="J96" s="61" t="n">
        <f aca="false">$J$2+K95</f>
        <v>2459674.5</v>
      </c>
      <c r="K96" s="21" t="n">
        <v>95</v>
      </c>
      <c r="L96" s="62" t="n">
        <f aca="false">(J96-2451545)/36525</f>
        <v>0.222573579739904</v>
      </c>
      <c r="M96" s="63" t="n">
        <f aca="false">MOD(280.46061837+360.98564736629*(J96-2451545)+0.000387933*L96^2-L96^3/38710000+$B$7,360)</f>
        <v>208.280901841819</v>
      </c>
      <c r="N96" s="30" t="n">
        <f aca="false">0.606433+1336.855225*L96 - INT(0.606433+1336.855225*L96)</f>
        <v>0.15508602224503</v>
      </c>
      <c r="O96" s="35" t="n">
        <f aca="false">22640*SIN(P96)-4586*SIN(P96-2*R96)+2370*SIN(2*R96)+769*SIN(2*P96)-668*SIN(Q96)-412*SIN(2*S96)-212*SIN(2*P96-2*R96)-206*SIN(P96+Q96-2*R96)+192*SIN(P96+2*R96)-165*SIN(Q96-2*R96)-125*SIN(R96)-110*SIN(P96+Q96)+148*SIN(P96-Q96)-55*SIN(2*S96-2*R96)</f>
        <v>9345.1008278229</v>
      </c>
      <c r="P96" s="32" t="n">
        <f aca="false">2*PI()*(0.374897+1325.55241*L96 - INT(0.374897+1325.55241*L96))</f>
        <v>2.56254702891422</v>
      </c>
      <c r="Q96" s="36" t="n">
        <f aca="false">2*PI()*(0.993133+99.997361*L96 - INT(0.993133+99.997361*L96))</f>
        <v>1.57019064226733</v>
      </c>
      <c r="R96" s="36" t="n">
        <f aca="false">2*PI()*(0.827361+1236.853086*L96 - INT(0.827361+1236.853086*L96))</f>
        <v>0.742546609434295</v>
      </c>
      <c r="S96" s="36" t="n">
        <f aca="false">2*PI()*(0.259086+1342.227825*L96 - INT(0.259086+1342.227825*L96))</f>
        <v>0.0222288839225972</v>
      </c>
      <c r="T96" s="36" t="n">
        <f aca="false">S96+(O96+412*SIN(2*S96)+541*SIN(Q96))/206264.8062</f>
        <v>0.0702468249287881</v>
      </c>
      <c r="U96" s="36" t="n">
        <f aca="false">S96-2*R96</f>
        <v>-1.46286433494599</v>
      </c>
      <c r="V96" s="34" t="n">
        <f aca="false">-526*SIN(U96)+44*SIN(P96+U96)-31*SIN(-P96+U96)-23*SIN(Q96+U96)+11*SIN(-Q96+U96)-25*SIN(-2*P96+S96)+21*SIN(-P96+S96)</f>
        <v>499.524725125028</v>
      </c>
      <c r="W96" s="36" t="n">
        <f aca="false">2*PI()*(N96+O96/1296000-INT(N96+O96/1296000))</f>
        <v>1.01974054364566</v>
      </c>
      <c r="X96" s="35" t="n">
        <f aca="false">W96*180/PI()</f>
        <v>58.4268293492726</v>
      </c>
      <c r="Y96" s="36" t="n">
        <f aca="false">(18520*SIN(T96)+V96)/206264.8062</f>
        <v>0.00872386450350867</v>
      </c>
      <c r="Z96" s="36" t="n">
        <f aca="false">Y96*180/PI()</f>
        <v>0.499840617095038</v>
      </c>
      <c r="AA96" s="36" t="n">
        <f aca="false">COS(Y96)*COS(W96)</f>
        <v>0.523567094592972</v>
      </c>
      <c r="AB96" s="36" t="n">
        <f aca="false">COS(Y96)*SIN(W96)</f>
        <v>0.85193978283578</v>
      </c>
      <c r="AC96" s="36" t="n">
        <f aca="false">SIN(Y96)</f>
        <v>0.00872375384779796</v>
      </c>
      <c r="AD96" s="36" t="n">
        <f aca="false">COS($A$10*(23.4393-46.815*L96/3600))*AB96-SIN($A$10*(23.4393-46.815*L96/3600))*AC96</f>
        <v>0.778186827397856</v>
      </c>
      <c r="AE96" s="36" t="n">
        <f aca="false">SIN($A$10*(23.4393-46.815*L96/3600))*AB96+COS($A$10*(23.4393-46.815*L96/3600))*AC96</f>
        <v>0.3468468813813</v>
      </c>
      <c r="AF96" s="36" t="n">
        <f aca="false">SQRT(1-AE96*AE96)</f>
        <v>0.93792176692732</v>
      </c>
      <c r="AG96" s="35" t="n">
        <f aca="false">ATAN(AE96/AF96)/$A$10</f>
        <v>20.2945771102194</v>
      </c>
      <c r="AH96" s="36" t="n">
        <f aca="false">IF(24*ATAN(AD96/(AA96+AF96))/PI()&gt;0,24*ATAN(AD96/(AA96+AF96))/PI(),24*ATAN(AD96/(AA96+AF96))/PI()+24)</f>
        <v>3.73781213777327</v>
      </c>
      <c r="AI96" s="63" t="n">
        <f aca="false">IF(M96-15*AH96&gt;0,M96-15*AH96,360+M96-15*AH96)</f>
        <v>152.21371977522</v>
      </c>
      <c r="AJ96" s="32" t="n">
        <f aca="false">0.950724+0.051818*COS(P96)+0.009531*COS(2*R96-P96)+0.007843*COS(2*R96)+0.002824*COS(2*P96)+0.000857*COS(2*R96+P96)+0.000533*COS(2*R96-Q96)*(1-0.002495*(J96-2415020)/36525)+0.000401*COS(2*R96-Q96-P96)*(1-0.002495*(J96-2415020)/36525)+0.00032*COS(P96-Q96)*(1-0.002495*(J96-2415020)/36525)-0.000271*COS(R96)</f>
        <v>0.913294304730294</v>
      </c>
      <c r="AK96" s="36" t="n">
        <f aca="false">ASIN(COS($A$10*$B$5)*COS($A$10*AG96)*COS($A$10*AI96)+SIN($A$10*$B$5)*SIN($A$10*AG96))/$A$10</f>
        <v>-15.5255069392758</v>
      </c>
      <c r="AL96" s="32" t="n">
        <f aca="false">ASIN((0.9983271+0.0016764*COS($A$10*2*$B$5))*COS($A$10*AK96)*SIN($A$10*AJ96))/$A$10</f>
        <v>0.878238399974472</v>
      </c>
      <c r="AM96" s="32" t="n">
        <f aca="false">AK96-AL96</f>
        <v>-16.4037453392503</v>
      </c>
      <c r="AN96" s="35" t="n">
        <f aca="false"> MOD(280.4664567 + 360007.6982779*L96/10 + 0.03032028*L96^2/100 + L96^3/49931000,360)</f>
        <v>13.2866856841374</v>
      </c>
      <c r="AO96" s="32" t="n">
        <f aca="false"> AN96 + (1.9146 - 0.004817*L96 - 0.000014*L96^2)*SIN(Q96)+ (0.019993 - 0.000101*L96)*SIN(2*Q96)+ 0.00029*SIN(3*Q96)</f>
        <v>15.1999466948084</v>
      </c>
      <c r="AP96" s="32" t="n">
        <f aca="false">ACOS(COS(W96-$A$10*AO96)*COS(Y96))/$A$10</f>
        <v>43.2292021605961</v>
      </c>
      <c r="AQ96" s="34" t="n">
        <f aca="false">180 - AP96 -0.1468*(1-0.0549*SIN(Q96))*SIN($A$10*AP96)/(1-0.0167*SIN($A$10*AO96))</f>
        <v>136.675353866908</v>
      </c>
      <c r="AR96" s="64" t="n">
        <f aca="false">SIN($A$10*AI96)</f>
        <v>0.46617480941212</v>
      </c>
      <c r="AS96" s="64" t="n">
        <f aca="false">COS($A$10*AI96)*SIN($A$10*$B$5) - TAN($A$10*AG96)*COS($A$10*$B$5)</f>
        <v>-0.915419068389229</v>
      </c>
      <c r="AT96" s="24" t="n">
        <f aca="false">IF(OR(AND(AR96*AS96&gt;0), AND(AR96&lt;0,AS96&gt;0)), MOD(ATAN2(AS96,AR96)/$A$10+360,360),  ATAN2(AS96,AR96)/$A$10)</f>
        <v>153.012647537968</v>
      </c>
      <c r="AU96" s="39" t="n">
        <f aca="false"> 385000.56 + (-20905355*COS(P96) - 3699111*COS(2*R96-P96) - 2955968*COS(2*R96) - 569925*COS(2*P96) + (1-0.002516*L96)*48888*COS(Q96) - 3149*COS(2*S96)  +246158*COS(2*R96-2*P96) -(1 - 0.002516*L96)*152138*COS(2*R96-Q96-P96) -170733*COS(2*R96+P96) -(1 - 0.002516*L96)*204586*COS(2*R96-Q96) -(1 - 0.002516*L96)*129620*COS(Q96-P96)  + 108743*COS(R96) +(1-0.002516*L96)*104755*COS(Q96+P96) +10321*COS(2*R96-2*S96) +79661*COS(P96-2*S96) -34782*COS(4*R96-P96) -23210*COS(3*P96)  -21636*COS(4*R96-2*P96) +(1 - 0.002516*L96)*24208*COS(2*R96+Q96-P96) +(1 - 0.002516*L96)*30824*COS(2*R96+Q96) -8379*COS(R96-P96) -(1 - 0.002516*L96)*16675*COS(R96+Q96)  -(1 - 0.002516*L96)*12831*COS(2*R96-Q96+P96) -10445*COS(2*R96+2*P96) -11650*COS(4*R96) +14403*COS(2*R96-3*P96) -(1-0.002516*L96)*7003*COS(Q96-2*P96)  + (1 - 0.002516*L96)*10056*COS(2*R96-Q96-2*P96) +6322*COS(R96+P96) -(1 - 0.002516*L96)*(1-0.002516*L96)*9884*COS(2*R96-2*Q96) +(1-0.002516*L96)*5751*COS(Q96+2*P96) - (1-0.002516*L96)^2*4950*COS(2*R96-2*Q96-P96)  +4130*COS(2*R96+P96-2*S96) -(1-0.002516*L96)*3958*COS(4*R96-Q96-P96) +3258*COS(3*R96-P96) +(1 - 0.002516*L96)*2616*COS(2*R96+Q96+P96) -(1 - 0.002516*L96)*1897*COS(4*R96-Q96-2*P96)  -(1-0.002516*L96)^2*2117*COS(2*Q96-P96) +(1-0.002516*L96)^2*2354*COS(2*R96+2*Q96-P96) -1423*COS(4*R96+P96) -1117*COS(4*P96) -(1-0.002516*L96)*1571*COS(4*R96-Q96)  -1739*COS(R96-2*P96) -4421*COS(2*P96-2*S96) +(1-0.002516*L96)^2*1165*COS(2*Q96+P96) +8752*COS(2*R96-P96-2*S96))/1000</f>
        <v>399991.705650065</v>
      </c>
      <c r="AV96" s="54" t="n">
        <f aca="false">ATAN(0.99664719*TAN($A$10*input!$E$2))</f>
        <v>0.871010436227447</v>
      </c>
      <c r="AW96" s="54" t="n">
        <f aca="false">COS(AV96)</f>
        <v>0.644053912545845</v>
      </c>
      <c r="AX96" s="54" t="n">
        <f aca="false">0.99664719*SIN(AV96)</f>
        <v>0.762415269897027</v>
      </c>
      <c r="AY96" s="54" t="n">
        <f aca="false">6378.14/AU96</f>
        <v>0.0159456806476381</v>
      </c>
      <c r="AZ96" s="55" t="n">
        <f aca="false">M96-15*AH96</f>
        <v>152.21371977522</v>
      </c>
      <c r="BA96" s="56" t="n">
        <f aca="false">COS($A$10*AG96)*SIN($A$10*AZ96)</f>
        <v>0.437235500940822</v>
      </c>
      <c r="BB96" s="56" t="n">
        <f aca="false">COS($A$10*AG96)*COS($A$10*AZ96)-AW96*AY96</f>
        <v>-0.840042351397713</v>
      </c>
      <c r="BC96" s="56" t="n">
        <f aca="false">SIN($A$10*AG96)-AX96*AY96</f>
        <v>0.334689650966639</v>
      </c>
      <c r="BD96" s="57" t="n">
        <f aca="false">SQRT(BA96^2+BB96^2+BC96^2)</f>
        <v>1.00442182268654</v>
      </c>
      <c r="BE96" s="58" t="n">
        <f aca="false">AU96*BD96</f>
        <v>401760.398048534</v>
      </c>
    </row>
    <row r="97" customFormat="false" ht="15" hidden="false" customHeight="false" outlineLevel="0" collapsed="false">
      <c r="D97" s="41" t="n">
        <f aca="false">K97-INT(275*E97/9)+IF($A$8="common year",2,1)*INT((E97+9)/12)+30</f>
        <v>6</v>
      </c>
      <c r="E97" s="41" t="n">
        <f aca="false">IF(K97&lt;32,1,INT(9*(IF($A$8="common year",2,1)+K97)/275+0.98))</f>
        <v>4</v>
      </c>
      <c r="F97" s="42" t="n">
        <f aca="false">AM97</f>
        <v>-9.49816040590611</v>
      </c>
      <c r="G97" s="60" t="n">
        <f aca="false">F97+1.02/(TAN($A$10*(F97+10.3/(F97+5.11)))*60)</f>
        <v>-9.57921401965518</v>
      </c>
      <c r="H97" s="43" t="n">
        <f aca="false">100*(1+COS($A$10*AQ97))/2</f>
        <v>20.8817246314723</v>
      </c>
      <c r="I97" s="43" t="n">
        <f aca="false">IF(AI97&gt;180,AT97-180,AT97+180)</f>
        <v>324.027884861538</v>
      </c>
      <c r="J97" s="61" t="n">
        <f aca="false">$J$2+K96</f>
        <v>2459675.5</v>
      </c>
      <c r="K97" s="21" t="n">
        <v>96</v>
      </c>
      <c r="L97" s="62" t="n">
        <f aca="false">(J97-2451545)/36525</f>
        <v>0.222600958247776</v>
      </c>
      <c r="M97" s="63" t="n">
        <f aca="false">MOD(280.46061837+360.98564736629*(J97-2451545)+0.000387933*L97^2-L97^3/38710000+$B$7,360)</f>
        <v>209.266549212858</v>
      </c>
      <c r="N97" s="30" t="n">
        <f aca="false">0.606433+1336.855225*L97 - INT(0.606433+1336.855225*L97)</f>
        <v>0.191687123545535</v>
      </c>
      <c r="O97" s="35" t="n">
        <f aca="false">22640*SIN(P97)-4586*SIN(P97-2*R97)+2370*SIN(2*R97)+769*SIN(2*P97)-668*SIN(Q97)-412*SIN(2*S97)-212*SIN(2*P97-2*R97)-206*SIN(P97+Q97-2*R97)+192*SIN(P97+2*R97)-165*SIN(Q97-2*R97)-125*SIN(R97)-110*SIN(P97+Q97)+148*SIN(P97-Q97)-55*SIN(2*S97-2*R97)</f>
        <v>5153.57679603696</v>
      </c>
      <c r="P97" s="32" t="n">
        <f aca="false">2*PI()*(0.374897+1325.55241*L97 - INT(0.374897+1325.55241*L97))</f>
        <v>2.79057417269004</v>
      </c>
      <c r="Q97" s="36" t="n">
        <f aca="false">2*PI()*(0.993133+99.997361*L97 - INT(0.993133+99.997361*L97))</f>
        <v>1.58739261213434</v>
      </c>
      <c r="R97" s="36" t="n">
        <f aca="false">2*PI()*(0.827361+1236.853086*L97 - INT(0.827361+1236.853086*L97))</f>
        <v>0.955315319553319</v>
      </c>
      <c r="S97" s="36" t="n">
        <f aca="false">2*PI()*(0.259086+1342.227825*L97 - INT(0.259086+1342.227825*L97))</f>
        <v>0.253124603263244</v>
      </c>
      <c r="T97" s="36" t="n">
        <f aca="false">S97+(O97+412*SIN(2*S97)+541*SIN(Q97))/206264.8062</f>
        <v>0.281700885078992</v>
      </c>
      <c r="U97" s="36" t="n">
        <f aca="false">S97-2*R97</f>
        <v>-1.65750603584339</v>
      </c>
      <c r="V97" s="34" t="n">
        <f aca="false">-526*SIN(U97)+44*SIN(P97+U97)-31*SIN(-P97+U97)-23*SIN(Q97+U97)+11*SIN(-Q97+U97)-25*SIN(-2*P97+S97)+21*SIN(-P97+S97)</f>
        <v>504.35818755888</v>
      </c>
      <c r="W97" s="36" t="n">
        <f aca="false">2*PI()*(N97+O97/1296000-INT(N97+O97/1296000))</f>
        <v>1.2293909636105</v>
      </c>
      <c r="X97" s="35" t="n">
        <f aca="false">W97*180/PI()</f>
        <v>70.4389135864027</v>
      </c>
      <c r="Y97" s="36" t="n">
        <f aca="false">(18520*SIN(T97)+V97)/206264.8062</f>
        <v>0.0274052132686158</v>
      </c>
      <c r="Z97" s="36" t="n">
        <f aca="false">Y97*180/PI()</f>
        <v>1.57020305694761</v>
      </c>
      <c r="AA97" s="36" t="n">
        <f aca="false">COS(Y97)*COS(W97)</f>
        <v>0.334685953509495</v>
      </c>
      <c r="AB97" s="36" t="n">
        <f aca="false">COS(Y97)*SIN(W97)</f>
        <v>0.94193123677556</v>
      </c>
      <c r="AC97" s="36" t="n">
        <f aca="false">SIN(Y97)</f>
        <v>0.0274017829694381</v>
      </c>
      <c r="AD97" s="36" t="n">
        <f aca="false">COS($A$10*(23.4393-46.815*L97/3600))*AB97-SIN($A$10*(23.4393-46.815*L97/3600))*AC97</f>
        <v>0.853325347008202</v>
      </c>
      <c r="AE97" s="36" t="n">
        <f aca="false">SIN($A$10*(23.4393-46.815*L97/3600))*AB97+COS($A$10*(23.4393-46.815*L97/3600))*AC97</f>
        <v>0.399776393346046</v>
      </c>
      <c r="AF97" s="36" t="n">
        <f aca="false">SQRT(1-AE97*AE97)</f>
        <v>0.916612696466303</v>
      </c>
      <c r="AG97" s="35" t="n">
        <f aca="false">ATAN(AE97/AF97)/$A$10</f>
        <v>23.5642004923448</v>
      </c>
      <c r="AH97" s="36" t="n">
        <f aca="false">IF(24*ATAN(AD97/(AA97+AF97))/PI()&gt;0,24*ATAN(AD97/(AA97+AF97))/PI(),24*ATAN(AD97/(AA97+AF97))/PI()+24)</f>
        <v>4.57228030035101</v>
      </c>
      <c r="AI97" s="63" t="n">
        <f aca="false">IF(M97-15*AH97&gt;0,M97-15*AH97,360+M97-15*AH97)</f>
        <v>140.682344707593</v>
      </c>
      <c r="AJ97" s="32" t="n">
        <f aca="false">0.950724+0.051818*COS(P97)+0.009531*COS(2*R97-P97)+0.007843*COS(2*R97)+0.002824*COS(2*P97)+0.000857*COS(2*R97+P97)+0.000533*COS(2*R97-Q97)*(1-0.002495*(J97-2415020)/36525)+0.000401*COS(2*R97-Q97-P97)*(1-0.002495*(J97-2415020)/36525)+0.00032*COS(P97-Q97)*(1-0.002495*(J97-2415020)/36525)-0.000271*COS(R97)</f>
        <v>0.907820867377582</v>
      </c>
      <c r="AK97" s="36" t="n">
        <f aca="false">ASIN(COS($A$10*$B$5)*COS($A$10*AG97)*COS($A$10*AI97)+SIN($A$10*$B$5)*SIN($A$10*AG97))/$A$10</f>
        <v>-8.60231610713489</v>
      </c>
      <c r="AL97" s="32" t="n">
        <f aca="false">ASIN((0.9983271+0.0016764*COS($A$10*2*$B$5))*COS($A$10*AK97)*SIN($A$10*AJ97))/$A$10</f>
        <v>0.895844298771219</v>
      </c>
      <c r="AM97" s="32" t="n">
        <f aca="false">AK97-AL97</f>
        <v>-9.49816040590611</v>
      </c>
      <c r="AN97" s="35" t="n">
        <f aca="false"> MOD(280.4664567 + 360007.6982779*L97/10 + 0.03032028*L97^2/100 + L97^3/49931000,360)</f>
        <v>14.2723330479384</v>
      </c>
      <c r="AO97" s="32" t="n">
        <f aca="false"> AN97 + (1.9146 - 0.004817*L97 - 0.000014*L97^2)*SIN(Q97)+ (0.019993 - 0.000101*L97)*SIN(2*Q97)+ 0.00029*SIN(3*Q97)</f>
        <v>16.1846441719573</v>
      </c>
      <c r="AP97" s="32" t="n">
        <f aca="false">ACOS(COS(W97-$A$10*AO97)*COS(Y97))/$A$10</f>
        <v>54.2697537188255</v>
      </c>
      <c r="AQ97" s="34" t="n">
        <f aca="false">180 - AP97 -0.1468*(1-0.0549*SIN(Q97))*SIN($A$10*AP97)/(1-0.0167*SIN($A$10*AO97))</f>
        <v>125.617092399471</v>
      </c>
      <c r="AR97" s="64" t="n">
        <f aca="false">SIN($A$10*AI97)</f>
        <v>0.633619295983872</v>
      </c>
      <c r="AS97" s="64" t="n">
        <f aca="false">COS($A$10*AI97)*SIN($A$10*$B$5) - TAN($A$10*AG97)*COS($A$10*$B$5)</f>
        <v>-0.872995300713975</v>
      </c>
      <c r="AT97" s="24" t="n">
        <f aca="false">IF(OR(AND(AR97*AS97&gt;0), AND(AR97&lt;0,AS97&gt;0)), MOD(ATAN2(AS97,AR97)/$A$10+360,360),  ATAN2(AS97,AR97)/$A$10)</f>
        <v>144.027884861538</v>
      </c>
      <c r="AU97" s="39" t="n">
        <f aca="false"> 385000.56 + (-20905355*COS(P97) - 3699111*COS(2*R97-P97) - 2955968*COS(2*R97) - 569925*COS(2*P97) + (1-0.002516*L97)*48888*COS(Q97) - 3149*COS(2*S97)  +246158*COS(2*R97-2*P97) -(1 - 0.002516*L97)*152138*COS(2*R97-Q97-P97) -170733*COS(2*R97+P97) -(1 - 0.002516*L97)*204586*COS(2*R97-Q97) -(1 - 0.002516*L97)*129620*COS(Q97-P97)  + 108743*COS(R97) +(1-0.002516*L97)*104755*COS(Q97+P97) +10321*COS(2*R97-2*S97) +79661*COS(P97-2*S97) -34782*COS(4*R97-P97) -23210*COS(3*P97)  -21636*COS(4*R97-2*P97) +(1 - 0.002516*L97)*24208*COS(2*R97+Q97-P97) +(1 - 0.002516*L97)*30824*COS(2*R97+Q97) -8379*COS(R97-P97) -(1 - 0.002516*L97)*16675*COS(R97+Q97)  -(1 - 0.002516*L97)*12831*COS(2*R97-Q97+P97) -10445*COS(2*R97+2*P97) -11650*COS(4*R97) +14403*COS(2*R97-3*P97) -(1-0.002516*L97)*7003*COS(Q97-2*P97)  + (1 - 0.002516*L97)*10056*COS(2*R97-Q97-2*P97) +6322*COS(R97+P97) -(1 - 0.002516*L97)*(1-0.002516*L97)*9884*COS(2*R97-2*Q97) +(1-0.002516*L97)*5751*COS(Q97+2*P97) - (1-0.002516*L97)^2*4950*COS(2*R97-2*Q97-P97)  +4130*COS(2*R97+P97-2*S97) -(1-0.002516*L97)*3958*COS(4*R97-Q97-P97) +3258*COS(3*R97-P97) +(1 - 0.002516*L97)*2616*COS(2*R97+Q97+P97) -(1 - 0.002516*L97)*1897*COS(4*R97-Q97-2*P97)  -(1-0.002516*L97)^2*2117*COS(2*Q97-P97) +(1-0.002516*L97)^2*2354*COS(2*R97+2*Q97-P97) -1423*COS(4*R97+P97) -1117*COS(4*P97) -(1-0.002516*L97)*1571*COS(4*R97-Q97)  -1739*COS(R97-2*P97) -4421*COS(2*P97-2*S97) +(1-0.002516*L97)^2*1165*COS(2*Q97+P97) +8752*COS(2*R97-P97-2*S97))/1000</f>
        <v>402509.755175092</v>
      </c>
      <c r="AV97" s="54" t="n">
        <f aca="false">ATAN(0.99664719*TAN($A$10*input!$E$2))</f>
        <v>0.871010436227447</v>
      </c>
      <c r="AW97" s="54" t="n">
        <f aca="false">COS(AV97)</f>
        <v>0.644053912545845</v>
      </c>
      <c r="AX97" s="54" t="n">
        <f aca="false">0.99664719*SIN(AV97)</f>
        <v>0.762415269897027</v>
      </c>
      <c r="AY97" s="54" t="n">
        <f aca="false">6378.14/AU97</f>
        <v>0.0158459265098445</v>
      </c>
      <c r="AZ97" s="55" t="n">
        <f aca="false">M97-15*AH97</f>
        <v>140.682344707593</v>
      </c>
      <c r="BA97" s="56" t="n">
        <f aca="false">COS($A$10*AG97)*SIN($A$10*AZ97)</f>
        <v>0.580783491424857</v>
      </c>
      <c r="BB97" s="56" t="n">
        <f aca="false">COS($A$10*AG97)*COS($A$10*AZ97)-AW97*AY97</f>
        <v>-0.719338461550229</v>
      </c>
      <c r="BC97" s="56" t="n">
        <f aca="false">SIN($A$10*AG97)-AX97*AY97</f>
        <v>0.387695217009275</v>
      </c>
      <c r="BD97" s="57" t="n">
        <f aca="false">SQRT(BA97^2+BB97^2+BC97^2)</f>
        <v>1.00252923521909</v>
      </c>
      <c r="BE97" s="58" t="n">
        <f aca="false">AU97*BD97</f>
        <v>403527.797023907</v>
      </c>
    </row>
    <row r="98" customFormat="false" ht="15" hidden="false" customHeight="false" outlineLevel="0" collapsed="false">
      <c r="D98" s="41" t="n">
        <f aca="false">K98-INT(275*E98/9)+IF($A$8="common year",2,1)*INT((E98+9)/12)+30</f>
        <v>7</v>
      </c>
      <c r="E98" s="41" t="n">
        <f aca="false">IF(K98&lt;32,1,INT(9*(IF($A$8="common year",2,1)+K98)/275+0.98))</f>
        <v>4</v>
      </c>
      <c r="F98" s="42" t="n">
        <f aca="false">AM98</f>
        <v>-2.58859559229472</v>
      </c>
      <c r="G98" s="60" t="n">
        <f aca="false">F98+1.02/(TAN($A$10*(F98+10.3/(F98+5.11)))*60)</f>
        <v>-1.93784202130014</v>
      </c>
      <c r="H98" s="43" t="n">
        <f aca="false">100*(1+COS($A$10*AQ98))/2</f>
        <v>29.1139670722024</v>
      </c>
      <c r="I98" s="43" t="n">
        <f aca="false">IF(AI98&gt;180,AT98-180,AT98+180)</f>
        <v>315.38054865218</v>
      </c>
      <c r="J98" s="61" t="n">
        <f aca="false">$J$2+K97</f>
        <v>2459676.5</v>
      </c>
      <c r="K98" s="21" t="n">
        <v>97</v>
      </c>
      <c r="L98" s="62" t="n">
        <f aca="false">(J98-2451545)/36525</f>
        <v>0.222628336755647</v>
      </c>
      <c r="M98" s="63" t="n">
        <f aca="false">MOD(280.46061837+360.98564736629*(J98-2451545)+0.000387933*L98^2-L98^3/38710000+$B$7,360)</f>
        <v>210.252196583897</v>
      </c>
      <c r="N98" s="30" t="n">
        <f aca="false">0.606433+1336.855225*L98 - INT(0.606433+1336.855225*L98)</f>
        <v>0.228288224845983</v>
      </c>
      <c r="O98" s="35" t="n">
        <f aca="false">22640*SIN(P98)-4586*SIN(P98-2*R98)+2370*SIN(2*R98)+769*SIN(2*P98)-668*SIN(Q98)-412*SIN(2*S98)-212*SIN(2*P98-2*R98)-206*SIN(P98+Q98-2*R98)+192*SIN(P98+2*R98)-165*SIN(Q98-2*R98)-125*SIN(R98)-110*SIN(P98+Q98)+148*SIN(P98-Q98)-55*SIN(2*S98-2*R98)</f>
        <v>508.236261990925</v>
      </c>
      <c r="P98" s="32" t="n">
        <f aca="false">2*PI()*(0.374897+1325.55241*L98 - INT(0.374897+1325.55241*L98))</f>
        <v>3.0186013164655</v>
      </c>
      <c r="Q98" s="36" t="n">
        <f aca="false">2*PI()*(0.993133+99.997361*L98 - INT(0.993133+99.997361*L98))</f>
        <v>1.6045945820013</v>
      </c>
      <c r="R98" s="36" t="n">
        <f aca="false">2*PI()*(0.827361+1236.853086*L98 - INT(0.827361+1236.853086*L98))</f>
        <v>1.16808402967199</v>
      </c>
      <c r="S98" s="36" t="n">
        <f aca="false">2*PI()*(0.259086+1342.227825*L98 - INT(0.259086+1342.227825*L98))</f>
        <v>0.484020322604248</v>
      </c>
      <c r="T98" s="36" t="n">
        <f aca="false">S98+(O98+412*SIN(2*S98)+541*SIN(Q98))/206264.8062</f>
        <v>0.49075110348872</v>
      </c>
      <c r="U98" s="36" t="n">
        <f aca="false">S98-2*R98</f>
        <v>-1.85214773673972</v>
      </c>
      <c r="V98" s="34" t="n">
        <f aca="false">-526*SIN(U98)+44*SIN(P98+U98)-31*SIN(-P98+U98)-23*SIN(Q98+U98)+11*SIN(-Q98+U98)-25*SIN(-2*P98+S98)+21*SIN(-P98+S98)</f>
        <v>495.552811343106</v>
      </c>
      <c r="W98" s="36" t="n">
        <f aca="false">2*PI()*(N98+O98/1296000-INT(N98+O98/1296000))</f>
        <v>1.43684121908488</v>
      </c>
      <c r="X98" s="35" t="n">
        <f aca="false">W98*180/PI()</f>
        <v>82.3249376839957</v>
      </c>
      <c r="Y98" s="36" t="n">
        <f aca="false">(18520*SIN(T98)+V98)/206264.8062</f>
        <v>0.044718319163394</v>
      </c>
      <c r="Z98" s="36" t="n">
        <f aca="false">Y98*180/PI()</f>
        <v>2.56217095498147</v>
      </c>
      <c r="AA98" s="36" t="n">
        <f aca="false">COS(Y98)*COS(W98)</f>
        <v>0.133421338119716</v>
      </c>
      <c r="AB98" s="36" t="n">
        <f aca="false">COS(Y98)*SIN(W98)</f>
        <v>0.990050681066868</v>
      </c>
      <c r="AC98" s="36" t="n">
        <f aca="false">SIN(Y98)</f>
        <v>0.0447034165738583</v>
      </c>
      <c r="AD98" s="36" t="n">
        <f aca="false">COS($A$10*(23.4393-46.815*L98/3600))*AB98-SIN($A$10*(23.4393-46.815*L98/3600))*AC98</f>
        <v>0.890593645637805</v>
      </c>
      <c r="AE98" s="36" t="n">
        <f aca="false">SIN($A$10*(23.4393-46.815*L98/3600))*AB98+COS($A$10*(23.4393-46.815*L98/3600))*AC98</f>
        <v>0.434789264913368</v>
      </c>
      <c r="AF98" s="36" t="n">
        <f aca="false">SQRT(1-AE98*AE98)</f>
        <v>0.900532228804773</v>
      </c>
      <c r="AG98" s="35" t="n">
        <f aca="false">ATAN(AE98/AF98)/$A$10</f>
        <v>25.771885237334</v>
      </c>
      <c r="AH98" s="36" t="n">
        <f aca="false">IF(24*ATAN(AD98/(AA98+AF98))/PI()&gt;0,24*ATAN(AD98/(AA98+AF98))/PI(),24*ATAN(AD98/(AA98+AF98))/PI()+24)</f>
        <v>5.43198577973588</v>
      </c>
      <c r="AI98" s="63" t="n">
        <f aca="false">IF(M98-15*AH98&gt;0,M98-15*AH98,360+M98-15*AH98)</f>
        <v>128.772409887859</v>
      </c>
      <c r="AJ98" s="32" t="n">
        <f aca="false">0.950724+0.051818*COS(P98)+0.009531*COS(2*R98-P98)+0.007843*COS(2*R98)+0.002824*COS(2*P98)+0.000857*COS(2*R98+P98)+0.000533*COS(2*R98-Q98)*(1-0.002495*(J98-2415020)/36525)+0.000401*COS(2*R98-Q98-P98)*(1-0.002495*(J98-2415020)/36525)+0.00032*COS(P98-Q98)*(1-0.002495*(J98-2415020)/36525)-0.000271*COS(R98)</f>
        <v>0.904589165623253</v>
      </c>
      <c r="AK98" s="36" t="n">
        <f aca="false">ASIN(COS($A$10*$B$5)*COS($A$10*AG98)*COS($A$10*AI98)+SIN($A$10*$B$5)*SIN($A$10*AG98))/$A$10</f>
        <v>-1.686174149854</v>
      </c>
      <c r="AL98" s="32" t="n">
        <f aca="false">ASIN((0.9983271+0.0016764*COS($A$10*2*$B$5))*COS($A$10*AK98)*SIN($A$10*AJ98))/$A$10</f>
        <v>0.902421442440727</v>
      </c>
      <c r="AM98" s="32" t="n">
        <f aca="false">AK98-AL98</f>
        <v>-2.58859559229472</v>
      </c>
      <c r="AN98" s="35" t="n">
        <f aca="false"> MOD(280.4664567 + 360007.6982779*L98/10 + 0.03032028*L98^2/100 + L98^3/49931000,360)</f>
        <v>15.257980411734</v>
      </c>
      <c r="AO98" s="32" t="n">
        <f aca="false"> AN98 + (1.9146 - 0.004817*L98 - 0.000014*L98^2)*SIN(Q98)+ (0.019993 - 0.000101*L98)*SIN(2*Q98)+ 0.00029*SIN(3*Q98)</f>
        <v>17.168777069358</v>
      </c>
      <c r="AP98" s="32" t="n">
        <f aca="false">ACOS(COS(W98-$A$10*AO98)*COS(Y98))/$A$10</f>
        <v>65.1826773330329</v>
      </c>
      <c r="AQ98" s="34" t="n">
        <f aca="false">180 - AP98 -0.1468*(1-0.0549*SIN(Q98))*SIN($A$10*AP98)/(1-0.0167*SIN($A$10*AO98))</f>
        <v>114.690766550097</v>
      </c>
      <c r="AR98" s="64" t="n">
        <f aca="false">SIN($A$10*AI98)</f>
        <v>0.779639608296467</v>
      </c>
      <c r="AS98" s="64" t="n">
        <f aca="false">COS($A$10*AI98)*SIN($A$10*$B$5) - TAN($A$10*AG98)*COS($A$10*$B$5)</f>
        <v>-0.790065471096621</v>
      </c>
      <c r="AT98" s="24" t="n">
        <f aca="false">IF(OR(AND(AR98*AS98&gt;0), AND(AR98&lt;0,AS98&gt;0)), MOD(ATAN2(AS98,AR98)/$A$10+360,360),  ATAN2(AS98,AR98)/$A$10)</f>
        <v>135.38054865218</v>
      </c>
      <c r="AU98" s="39" t="n">
        <f aca="false"> 385000.56 + (-20905355*COS(P98) - 3699111*COS(2*R98-P98) - 2955968*COS(2*R98) - 569925*COS(2*P98) + (1-0.002516*L98)*48888*COS(Q98) - 3149*COS(2*S98)  +246158*COS(2*R98-2*P98) -(1 - 0.002516*L98)*152138*COS(2*R98-Q98-P98) -170733*COS(2*R98+P98) -(1 - 0.002516*L98)*204586*COS(2*R98-Q98) -(1 - 0.002516*L98)*129620*COS(Q98-P98)  + 108743*COS(R98) +(1-0.002516*L98)*104755*COS(Q98+P98) +10321*COS(2*R98-2*S98) +79661*COS(P98-2*S98) -34782*COS(4*R98-P98) -23210*COS(3*P98)  -21636*COS(4*R98-2*P98) +(1 - 0.002516*L98)*24208*COS(2*R98+Q98-P98) +(1 - 0.002516*L98)*30824*COS(2*R98+Q98) -8379*COS(R98-P98) -(1 - 0.002516*L98)*16675*COS(R98+Q98)  -(1 - 0.002516*L98)*12831*COS(2*R98-Q98+P98) -10445*COS(2*R98+2*P98) -11650*COS(4*R98) +14403*COS(2*R98-3*P98) -(1-0.002516*L98)*7003*COS(Q98-2*P98)  + (1 - 0.002516*L98)*10056*COS(2*R98-Q98-2*P98) +6322*COS(R98+P98) -(1 - 0.002516*L98)*(1-0.002516*L98)*9884*COS(2*R98-2*Q98) +(1-0.002516*L98)*5751*COS(Q98+2*P98) - (1-0.002516*L98)^2*4950*COS(2*R98-2*Q98-P98)  +4130*COS(2*R98+P98-2*S98) -(1-0.002516*L98)*3958*COS(4*R98-Q98-P98) +3258*COS(3*R98-P98) +(1 - 0.002516*L98)*2616*COS(2*R98+Q98+P98) -(1 - 0.002516*L98)*1897*COS(4*R98-Q98-2*P98)  -(1-0.002516*L98)^2*2117*COS(2*Q98-P98) +(1-0.002516*L98)^2*2354*COS(2*R98+2*Q98-P98) -1423*COS(4*R98+P98) -1117*COS(4*P98) -(1-0.002516*L98)*1571*COS(4*R98-Q98)  -1739*COS(R98-2*P98) -4421*COS(2*P98-2*S98) +(1-0.002516*L98)^2*1165*COS(2*Q98+P98) +8752*COS(2*R98-P98-2*S98))/1000</f>
        <v>404043.878907928</v>
      </c>
      <c r="AV98" s="54" t="n">
        <f aca="false">ATAN(0.99664719*TAN($A$10*input!$E$2))</f>
        <v>0.871010436227447</v>
      </c>
      <c r="AW98" s="54" t="n">
        <f aca="false">COS(AV98)</f>
        <v>0.644053912545845</v>
      </c>
      <c r="AX98" s="54" t="n">
        <f aca="false">0.99664719*SIN(AV98)</f>
        <v>0.762415269897027</v>
      </c>
      <c r="AY98" s="54" t="n">
        <f aca="false">6378.14/AU98</f>
        <v>0.0157857607377674</v>
      </c>
      <c r="AZ98" s="55" t="n">
        <f aca="false">M98-15*AH98</f>
        <v>128.772409887859</v>
      </c>
      <c r="BA98" s="56" t="n">
        <f aca="false">COS($A$10*AG98)*SIN($A$10*AZ98)</f>
        <v>0.702090594123698</v>
      </c>
      <c r="BB98" s="56" t="n">
        <f aca="false">COS($A$10*AG98)*COS($A$10*AZ98)-AW98*AY98</f>
        <v>-0.574105789677533</v>
      </c>
      <c r="BC98" s="56" t="n">
        <f aca="false">SIN($A$10*AG98)-AX98*AY98</f>
        <v>0.422753959879954</v>
      </c>
      <c r="BD98" s="57" t="n">
        <f aca="false">SQRT(BA98^2+BB98^2+BC98^2)</f>
        <v>1.00062459028969</v>
      </c>
      <c r="BE98" s="58" t="n">
        <f aca="false">AU98*BD98</f>
        <v>404296.240791304</v>
      </c>
    </row>
    <row r="99" customFormat="false" ht="15" hidden="false" customHeight="false" outlineLevel="0" collapsed="false">
      <c r="D99" s="41" t="n">
        <f aca="false">K99-INT(275*E99/9)+IF($A$8="common year",2,1)*INT((E99+9)/12)+30</f>
        <v>8</v>
      </c>
      <c r="E99" s="41" t="n">
        <f aca="false">IF(K99&lt;32,1,INT(9*(IF($A$8="common year",2,1)+K99)/275+0.98))</f>
        <v>4</v>
      </c>
      <c r="F99" s="42" t="n">
        <f aca="false">AM99</f>
        <v>4.19395759744175</v>
      </c>
      <c r="G99" s="60" t="n">
        <f aca="false">F99+1.02/(TAN($A$10*(F99+10.3/(F99+5.11)))*60)</f>
        <v>4.3771768003664</v>
      </c>
      <c r="H99" s="43" t="n">
        <f aca="false">100*(1+COS($A$10*AQ99))/2</f>
        <v>38.0466222700371</v>
      </c>
      <c r="I99" s="43" t="n">
        <f aca="false">IF(AI99&gt;180,AT99-180,AT99+180)</f>
        <v>306.744100517481</v>
      </c>
      <c r="J99" s="61" t="n">
        <f aca="false">$J$2+K98</f>
        <v>2459677.5</v>
      </c>
      <c r="K99" s="21" t="n">
        <v>98</v>
      </c>
      <c r="L99" s="62" t="n">
        <f aca="false">(J99-2451545)/36525</f>
        <v>0.222655715263518</v>
      </c>
      <c r="M99" s="63" t="n">
        <f aca="false">MOD(280.46061837+360.98564736629*(J99-2451545)+0.000387933*L99^2-L99^3/38710000+$B$7,360)</f>
        <v>211.237843954936</v>
      </c>
      <c r="N99" s="30" t="n">
        <f aca="false">0.606433+1336.855225*L99 - INT(0.606433+1336.855225*L99)</f>
        <v>0.264889326146431</v>
      </c>
      <c r="O99" s="35" t="n">
        <f aca="false">22640*SIN(P99)-4586*SIN(P99-2*R99)+2370*SIN(2*R99)+769*SIN(2*P99)-668*SIN(Q99)-412*SIN(2*S99)-212*SIN(2*P99-2*R99)-206*SIN(P99+Q99-2*R99)+192*SIN(P99+2*R99)-165*SIN(Q99-2*R99)-125*SIN(R99)-110*SIN(P99+Q99)+148*SIN(P99-Q99)-55*SIN(2*S99-2*R99)</f>
        <v>-4321.44659624736</v>
      </c>
      <c r="P99" s="32" t="n">
        <f aca="false">2*PI()*(0.374897+1325.55241*L99 - INT(0.374897+1325.55241*L99))</f>
        <v>3.24662846024132</v>
      </c>
      <c r="Q99" s="36" t="n">
        <f aca="false">2*PI()*(0.993133+99.997361*L99 - INT(0.993133+99.997361*L99))</f>
        <v>1.62179655186831</v>
      </c>
      <c r="R99" s="36" t="n">
        <f aca="false">2*PI()*(0.827361+1236.853086*L99 - INT(0.827361+1236.853086*L99))</f>
        <v>1.38085273979101</v>
      </c>
      <c r="S99" s="36" t="n">
        <f aca="false">2*PI()*(0.259086+1342.227825*L99 - INT(0.259086+1342.227825*L99))</f>
        <v>0.714916041944895</v>
      </c>
      <c r="T99" s="36" t="n">
        <f aca="false">S99+(O99+412*SIN(2*S99)+541*SIN(Q99))/206264.8062</f>
        <v>0.698562129138111</v>
      </c>
      <c r="U99" s="36" t="n">
        <f aca="false">S99-2*R99</f>
        <v>-2.04678943763713</v>
      </c>
      <c r="V99" s="34" t="n">
        <f aca="false">-526*SIN(U99)+44*SIN(P99+U99)-31*SIN(-P99+U99)-23*SIN(Q99+U99)+11*SIN(-Q99+U99)-25*SIN(-2*P99+S99)+21*SIN(-P99+S99)</f>
        <v>473.518739948024</v>
      </c>
      <c r="W99" s="36" t="n">
        <f aca="false">2*PI()*(N99+O99/1296000-INT(N99+O99/1296000))</f>
        <v>1.64339775775151</v>
      </c>
      <c r="X99" s="35" t="n">
        <f aca="false">W99*180/PI()</f>
        <v>94.1597555804242</v>
      </c>
      <c r="Y99" s="36" t="n">
        <f aca="false">(18520*SIN(T99)+V99)/206264.8062</f>
        <v>0.0600395721645397</v>
      </c>
      <c r="Z99" s="36" t="n">
        <f aca="false">Y99*180/PI()</f>
        <v>3.44001408879926</v>
      </c>
      <c r="AA99" s="36" t="n">
        <f aca="false">COS(Y99)*COS(W99)</f>
        <v>-0.0724069669783001</v>
      </c>
      <c r="AB99" s="36" t="n">
        <f aca="false">COS(Y99)*SIN(W99)</f>
        <v>0.995568586403811</v>
      </c>
      <c r="AC99" s="36" t="n">
        <f aca="false">SIN(Y99)</f>
        <v>0.0600035073884938</v>
      </c>
      <c r="AD99" s="36" t="n">
        <f aca="false">COS($A$10*(23.4393-46.815*L99/3600))*AB99-SIN($A$10*(23.4393-46.815*L99/3600))*AC99</f>
        <v>0.889571018689583</v>
      </c>
      <c r="AE99" s="36" t="n">
        <f aca="false">SIN($A$10*(23.4393-46.815*L99/3600))*AB99+COS($A$10*(23.4393-46.815*L99/3600))*AC99</f>
        <v>0.451021766482042</v>
      </c>
      <c r="AF99" s="36" t="n">
        <f aca="false">SQRT(1-AE99*AE99)</f>
        <v>0.892512950135413</v>
      </c>
      <c r="AG99" s="35" t="n">
        <f aca="false">ATAN(AE99/AF99)/$A$10</f>
        <v>26.8092583439538</v>
      </c>
      <c r="AH99" s="36" t="n">
        <f aca="false">IF(24*ATAN(AD99/(AA99+AF99))/PI()&gt;0,24*ATAN(AD99/(AA99+AF99))/PI(),24*ATAN(AD99/(AA99+AF99))/PI()+24)</f>
        <v>6.31022353980549</v>
      </c>
      <c r="AI99" s="63" t="n">
        <f aca="false">IF(M99-15*AH99&gt;0,M99-15*AH99,360+M99-15*AH99)</f>
        <v>116.584490857853</v>
      </c>
      <c r="AJ99" s="32" t="n">
        <f aca="false">0.950724+0.051818*COS(P99)+0.009531*COS(2*R99-P99)+0.007843*COS(2*R99)+0.002824*COS(2*P99)+0.000857*COS(2*R99+P99)+0.000533*COS(2*R99-Q99)*(1-0.002495*(J99-2415020)/36525)+0.000401*COS(2*R99-Q99-P99)*(1-0.002495*(J99-2415020)/36525)+0.00032*COS(P99-Q99)*(1-0.002495*(J99-2415020)/36525)-0.000271*COS(R99)</f>
        <v>0.903876070078439</v>
      </c>
      <c r="AK99" s="36" t="n">
        <f aca="false">ASIN(COS($A$10*$B$5)*COS($A$10*AG99)*COS($A$10*AI99)+SIN($A$10*$B$5)*SIN($A$10*AG99))/$A$10</f>
        <v>5.09249714775766</v>
      </c>
      <c r="AL99" s="32" t="n">
        <f aca="false">ASIN((0.9983271+0.0016764*COS($A$10*2*$B$5))*COS($A$10*AK99)*SIN($A$10*AJ99))/$A$10</f>
        <v>0.898539550315919</v>
      </c>
      <c r="AM99" s="32" t="n">
        <f aca="false">AK99-AL99</f>
        <v>4.19395759744175</v>
      </c>
      <c r="AN99" s="35" t="n">
        <f aca="false"> MOD(280.4664567 + 360007.6982779*L99/10 + 0.03032028*L99^2/100 + L99^3/49931000,360)</f>
        <v>16.2436277755387</v>
      </c>
      <c r="AO99" s="32" t="n">
        <f aca="false"> AN99 + (1.9146 - 0.004817*L99 - 0.000014*L99^2)*SIN(Q99)+ (0.019993 - 0.000101*L99)*SIN(2*Q99)+ 0.00029*SIN(3*Q99)</f>
        <v>18.1523464416031</v>
      </c>
      <c r="AP99" s="32" t="n">
        <f aca="false">ACOS(COS(W99-$A$10*AO99)*COS(Y99))/$A$10</f>
        <v>76.033133513238</v>
      </c>
      <c r="AQ99" s="34" t="n">
        <f aca="false">180 - AP99 -0.1468*(1-0.0549*SIN(Q99))*SIN($A$10*AP99)/(1-0.0167*SIN($A$10*AO99))</f>
        <v>103.831513225834</v>
      </c>
      <c r="AR99" s="64" t="n">
        <f aca="false">SIN($A$10*AI99)</f>
        <v>0.894275406015177</v>
      </c>
      <c r="AS99" s="64" t="n">
        <f aca="false">COS($A$10*AI99)*SIN($A$10*$B$5) - TAN($A$10*AG99)*COS($A$10*$B$5)</f>
        <v>-0.667643705777418</v>
      </c>
      <c r="AT99" s="24" t="n">
        <f aca="false">IF(OR(AND(AR99*AS99&gt;0), AND(AR99&lt;0,AS99&gt;0)), MOD(ATAN2(AS99,AR99)/$A$10+360,360),  ATAN2(AS99,AR99)/$A$10)</f>
        <v>126.744100517481</v>
      </c>
      <c r="AU99" s="39" t="n">
        <f aca="false"> 385000.56 + (-20905355*COS(P99) - 3699111*COS(2*R99-P99) - 2955968*COS(2*R99) - 569925*COS(2*P99) + (1-0.002516*L99)*48888*COS(Q99) - 3149*COS(2*S99)  +246158*COS(2*R99-2*P99) -(1 - 0.002516*L99)*152138*COS(2*R99-Q99-P99) -170733*COS(2*R99+P99) -(1 - 0.002516*L99)*204586*COS(2*R99-Q99) -(1 - 0.002516*L99)*129620*COS(Q99-P99)  + 108743*COS(R99) +(1-0.002516*L99)*104755*COS(Q99+P99) +10321*COS(2*R99-2*S99) +79661*COS(P99-2*S99) -34782*COS(4*R99-P99) -23210*COS(3*P99)  -21636*COS(4*R99-2*P99) +(1 - 0.002516*L99)*24208*COS(2*R99+Q99-P99) +(1 - 0.002516*L99)*30824*COS(2*R99+Q99) -8379*COS(R99-P99) -(1 - 0.002516*L99)*16675*COS(R99+Q99)  -(1 - 0.002516*L99)*12831*COS(2*R99-Q99+P99) -10445*COS(2*R99+2*P99) -11650*COS(4*R99) +14403*COS(2*R99-3*P99) -(1-0.002516*L99)*7003*COS(Q99-2*P99)  + (1 - 0.002516*L99)*10056*COS(2*R99-Q99-2*P99) +6322*COS(R99+P99) -(1 - 0.002516*L99)*(1-0.002516*L99)*9884*COS(2*R99-2*Q99) +(1-0.002516*L99)*5751*COS(Q99+2*P99) - (1-0.002516*L99)^2*4950*COS(2*R99-2*Q99-P99)  +4130*COS(2*R99+P99-2*S99) -(1-0.002516*L99)*3958*COS(4*R99-Q99-P99) +3258*COS(3*R99-P99) +(1 - 0.002516*L99)*2616*COS(2*R99+Q99+P99) -(1 - 0.002516*L99)*1897*COS(4*R99-Q99-2*P99)  -(1-0.002516*L99)^2*2117*COS(2*Q99-P99) +(1-0.002516*L99)^2*2354*COS(2*R99+2*Q99-P99) -1423*COS(4*R99+P99) -1117*COS(4*P99) -(1-0.002516*L99)*1571*COS(4*R99-Q99)  -1739*COS(R99-2*P99) -4421*COS(2*P99-2*S99) +(1-0.002516*L99)^2*1165*COS(2*Q99+P99) +8752*COS(2*R99-P99-2*S99))/1000</f>
        <v>404413.477515481</v>
      </c>
      <c r="AV99" s="54" t="n">
        <f aca="false">ATAN(0.99664719*TAN($A$10*input!$E$2))</f>
        <v>0.871010436227447</v>
      </c>
      <c r="AW99" s="54" t="n">
        <f aca="false">COS(AV99)</f>
        <v>0.644053912545845</v>
      </c>
      <c r="AX99" s="54" t="n">
        <f aca="false">0.99664719*SIN(AV99)</f>
        <v>0.762415269897027</v>
      </c>
      <c r="AY99" s="54" t="n">
        <f aca="false">6378.14/AU99</f>
        <v>0.0157713339307685</v>
      </c>
      <c r="AZ99" s="55" t="n">
        <f aca="false">M99-15*AH99</f>
        <v>116.584490857853</v>
      </c>
      <c r="BA99" s="56" t="n">
        <f aca="false">COS($A$10*AG99)*SIN($A$10*AZ99)</f>
        <v>0.79815238085615</v>
      </c>
      <c r="BB99" s="56" t="n">
        <f aca="false">COS($A$10*AG99)*COS($A$10*AZ99)-AW99*AY99</f>
        <v>-0.409572340044627</v>
      </c>
      <c r="BC99" s="56" t="n">
        <f aca="false">SIN($A$10*AG99)-AX99*AY99</f>
        <v>0.438997460666578</v>
      </c>
      <c r="BD99" s="57" t="n">
        <f aca="false">SQRT(BA99^2+BB99^2+BC99^2)</f>
        <v>0.99875697507836</v>
      </c>
      <c r="BE99" s="58" t="n">
        <f aca="false">AU99*BD99</f>
        <v>403910.781484283</v>
      </c>
    </row>
    <row r="100" customFormat="false" ht="15" hidden="false" customHeight="false" outlineLevel="0" collapsed="false">
      <c r="D100" s="41" t="n">
        <f aca="false">K100-INT(275*E100/9)+IF($A$8="common year",2,1)*INT((E100+9)/12)+30</f>
        <v>9</v>
      </c>
      <c r="E100" s="41" t="n">
        <f aca="false">IF(K100&lt;32,1,INT(9*(IF($A$8="common year",2,1)+K100)/275+0.98))</f>
        <v>4</v>
      </c>
      <c r="F100" s="42" t="n">
        <f aca="false">AM100</f>
        <v>10.7302096679958</v>
      </c>
      <c r="G100" s="60" t="n">
        <f aca="false">F100+1.02/(TAN($A$10*(F100+10.3/(F100+5.11)))*60)</f>
        <v>10.8146689703301</v>
      </c>
      <c r="H100" s="43" t="n">
        <f aca="false">100*(1+COS($A$10*AQ100))/2</f>
        <v>47.4126092053953</v>
      </c>
      <c r="I100" s="43" t="n">
        <f aca="false">IF(AI100&gt;180,AT100-180,AT100+180)</f>
        <v>297.813342765754</v>
      </c>
      <c r="J100" s="61" t="n">
        <f aca="false">$J$2+K99</f>
        <v>2459678.5</v>
      </c>
      <c r="K100" s="21" t="n">
        <v>99</v>
      </c>
      <c r="L100" s="62" t="n">
        <f aca="false">(J100-2451545)/36525</f>
        <v>0.222683093771389</v>
      </c>
      <c r="M100" s="63" t="n">
        <f aca="false">MOD(280.46061837+360.98564736629*(J100-2451545)+0.000387933*L100^2-L100^3/38710000+$B$7,360)</f>
        <v>212.22349132644</v>
      </c>
      <c r="N100" s="30" t="n">
        <f aca="false">0.606433+1336.855225*L100 - INT(0.606433+1336.855225*L100)</f>
        <v>0.301490427446936</v>
      </c>
      <c r="O100" s="35" t="n">
        <f aca="false">22640*SIN(P100)-4586*SIN(P100-2*R100)+2370*SIN(2*R100)+769*SIN(2*P100)-668*SIN(Q100)-412*SIN(2*S100)-212*SIN(2*P100-2*R100)-206*SIN(P100+Q100-2*R100)+192*SIN(P100+2*R100)-165*SIN(Q100-2*R100)-125*SIN(R100)-110*SIN(P100+Q100)+148*SIN(P100-Q100)-55*SIN(2*S100-2*R100)</f>
        <v>-9054.12393672446</v>
      </c>
      <c r="P100" s="32" t="n">
        <f aca="false">2*PI()*(0.374897+1325.55241*L100 - INT(0.374897+1325.55241*L100))</f>
        <v>3.47465560401678</v>
      </c>
      <c r="Q100" s="36" t="n">
        <f aca="false">2*PI()*(0.993133+99.997361*L100 - INT(0.993133+99.997361*L100))</f>
        <v>1.6389985217353</v>
      </c>
      <c r="R100" s="36" t="n">
        <f aca="false">2*PI()*(0.827361+1236.853086*L100 - INT(0.827361+1236.853086*L100))</f>
        <v>1.59362144991004</v>
      </c>
      <c r="S100" s="36" t="n">
        <f aca="false">2*PI()*(0.259086+1342.227825*L100 - INT(0.259086+1342.227825*L100))</f>
        <v>0.9458117612859</v>
      </c>
      <c r="T100" s="36" t="n">
        <f aca="false">S100+(O100+412*SIN(2*S100)+541*SIN(Q100))/206264.8062</f>
        <v>0.906428387130021</v>
      </c>
      <c r="U100" s="36" t="n">
        <f aca="false">S100-2*R100</f>
        <v>-2.24143113853417</v>
      </c>
      <c r="V100" s="34" t="n">
        <f aca="false">-526*SIN(U100)+44*SIN(P100+U100)-31*SIN(-P100+U100)-23*SIN(Q100+U100)+11*SIN(-Q100+U100)-25*SIN(-2*P100+S100)+21*SIN(-P100+S100)</f>
        <v>438.408474752059</v>
      </c>
      <c r="W100" s="36" t="n">
        <f aca="false">2*PI()*(N100+O100/1296000-INT(N100+O100/1296000))</f>
        <v>1.85042459244003</v>
      </c>
      <c r="X100" s="35" t="n">
        <f aca="false">W100*180/PI()</f>
        <v>106.021519454029</v>
      </c>
      <c r="Y100" s="36" t="n">
        <f aca="false">(18520*SIN(T100)+V100)/206264.8062</f>
        <v>0.0728157548782289</v>
      </c>
      <c r="Z100" s="36" t="n">
        <f aca="false">Y100*180/PI()</f>
        <v>4.17203543658165</v>
      </c>
      <c r="AA100" s="36" t="n">
        <f aca="false">COS(Y100)*COS(W100)</f>
        <v>-0.27526700519251</v>
      </c>
      <c r="AB100" s="36" t="n">
        <f aca="false">COS(Y100)*SIN(W100)</f>
        <v>0.958611133853119</v>
      </c>
      <c r="AC100" s="36" t="n">
        <f aca="false">SIN(Y100)</f>
        <v>0.072751425451224</v>
      </c>
      <c r="AD100" s="36" t="n">
        <f aca="false">COS($A$10*(23.4393-46.815*L100/3600))*AB100-SIN($A$10*(23.4393-46.815*L100/3600))*AC100</f>
        <v>0.850592239772805</v>
      </c>
      <c r="AE100" s="36" t="n">
        <f aca="false">SIN($A$10*(23.4393-46.815*L100/3600))*AB100+COS($A$10*(23.4393-46.815*L100/3600))*AC100</f>
        <v>0.448018880730075</v>
      </c>
      <c r="AF100" s="36" t="n">
        <f aca="false">SQRT(1-AE100*AE100)</f>
        <v>0.894024095038479</v>
      </c>
      <c r="AG100" s="35" t="n">
        <f aca="false">ATAN(AE100/AF100)/$A$10</f>
        <v>26.6166482680717</v>
      </c>
      <c r="AH100" s="36" t="n">
        <f aca="false">IF(24*ATAN(AD100/(AA100+AF100))/PI()&gt;0,24*ATAN(AD100/(AA100+AF100))/PI(),24*ATAN(AD100/(AA100+AF100))/PI()+24)</f>
        <v>7.19550114808977</v>
      </c>
      <c r="AI100" s="63" t="n">
        <f aca="false">IF(M100-15*AH100&gt;0,M100-15*AH100,360+M100-15*AH100)</f>
        <v>104.290974105094</v>
      </c>
      <c r="AJ100" s="32" t="n">
        <f aca="false">0.950724+0.051818*COS(P100)+0.009531*COS(2*R100-P100)+0.007843*COS(2*R100)+0.002824*COS(2*P100)+0.000857*COS(2*R100+P100)+0.000533*COS(2*R100-Q100)*(1-0.002495*(J100-2415020)/36525)+0.000401*COS(2*R100-Q100-P100)*(1-0.002495*(J100-2415020)/36525)+0.00032*COS(P100-Q100)*(1-0.002495*(J100-2415020)/36525)-0.000271*COS(R100)</f>
        <v>0.905870882295845</v>
      </c>
      <c r="AK100" s="36" t="n">
        <f aca="false">ASIN(COS($A$10*$B$5)*COS($A$10*AG100)*COS($A$10*AI100)+SIN($A$10*$B$5)*SIN($A$10*AG100))/$A$10</f>
        <v>11.6157838194878</v>
      </c>
      <c r="AL100" s="32" t="n">
        <f aca="false">ASIN((0.9983271+0.0016764*COS($A$10*2*$B$5))*COS($A$10*AK100)*SIN($A$10*AJ100))/$A$10</f>
        <v>0.885574151492044</v>
      </c>
      <c r="AM100" s="32" t="n">
        <f aca="false">AK100-AL100</f>
        <v>10.7302096679958</v>
      </c>
      <c r="AN100" s="35" t="n">
        <f aca="false"> MOD(280.4664567 + 360007.6982779*L100/10 + 0.03032028*L100^2/100 + L100^3/49931000,360)</f>
        <v>17.2292751393397</v>
      </c>
      <c r="AO100" s="32" t="n">
        <f aca="false"> AN100 + (1.9146 - 0.004817*L100 - 0.000014*L100^2)*SIN(Q100)+ (0.019993 - 0.000101*L100)*SIN(2*Q100)+ 0.00029*SIN(3*Q100)</f>
        <v>19.1353535067699</v>
      </c>
      <c r="AP100" s="32" t="n">
        <f aca="false">ACOS(COS(W100-$A$10*AO100)*COS(Y100))/$A$10</f>
        <v>86.8944253842873</v>
      </c>
      <c r="AQ100" s="34" t="n">
        <f aca="false">180 - AP100 -0.1468*(1-0.0549*SIN(Q100))*SIN($A$10*AP100)/(1-0.0167*SIN($A$10*AO100))</f>
        <v>92.9662563136727</v>
      </c>
      <c r="AR100" s="64" t="n">
        <f aca="false">SIN($A$10*AI100)</f>
        <v>0.969054629528799</v>
      </c>
      <c r="AS100" s="64" t="n">
        <f aca="false">COS($A$10*AI100)*SIN($A$10*$B$5) - TAN($A$10*AG100)*COS($A$10*$B$5)</f>
        <v>-0.511212981898214</v>
      </c>
      <c r="AT100" s="24" t="n">
        <f aca="false">IF(OR(AND(AR100*AS100&gt;0), AND(AR100&lt;0,AS100&gt;0)), MOD(ATAN2(AS100,AR100)/$A$10+360,360),  ATAN2(AS100,AR100)/$A$10)</f>
        <v>117.813342765754</v>
      </c>
      <c r="AU100" s="39" t="n">
        <f aca="false"> 385000.56 + (-20905355*COS(P100) - 3699111*COS(2*R100-P100) - 2955968*COS(2*R100) - 569925*COS(2*P100) + (1-0.002516*L100)*48888*COS(Q100) - 3149*COS(2*S100)  +246158*COS(2*R100-2*P100) -(1 - 0.002516*L100)*152138*COS(2*R100-Q100-P100) -170733*COS(2*R100+P100) -(1 - 0.002516*L100)*204586*COS(2*R100-Q100) -(1 - 0.002516*L100)*129620*COS(Q100-P100)  + 108743*COS(R100) +(1-0.002516*L100)*104755*COS(Q100+P100) +10321*COS(2*R100-2*S100) +79661*COS(P100-2*S100) -34782*COS(4*R100-P100) -23210*COS(3*P100)  -21636*COS(4*R100-2*P100) +(1 - 0.002516*L100)*24208*COS(2*R100+Q100-P100) +(1 - 0.002516*L100)*30824*COS(2*R100+Q100) -8379*COS(R100-P100) -(1 - 0.002516*L100)*16675*COS(R100+Q100)  -(1 - 0.002516*L100)*12831*COS(2*R100-Q100+P100) -10445*COS(2*R100+2*P100) -11650*COS(4*R100) +14403*COS(2*R100-3*P100) -(1-0.002516*L100)*7003*COS(Q100-2*P100)  + (1 - 0.002516*L100)*10056*COS(2*R100-Q100-2*P100) +6322*COS(R100+P100) -(1 - 0.002516*L100)*(1-0.002516*L100)*9884*COS(2*R100-2*Q100) +(1-0.002516*L100)*5751*COS(Q100+2*P100) - (1-0.002516*L100)^2*4950*COS(2*R100-2*Q100-P100)  +4130*COS(2*R100+P100-2*S100) -(1-0.002516*L100)*3958*COS(4*R100-Q100-P100) +3258*COS(3*R100-P100) +(1 - 0.002516*L100)*2616*COS(2*R100+Q100+P100) -(1 - 0.002516*L100)*1897*COS(4*R100-Q100-2*P100)  -(1-0.002516*L100)^2*2117*COS(2*Q100-P100) +(1-0.002516*L100)^2*2354*COS(2*R100+2*Q100-P100) -1423*COS(4*R100+P100) -1117*COS(4*P100) -(1-0.002516*L100)*1571*COS(4*R100-Q100)  -1739*COS(R100-2*P100) -4421*COS(2*P100-2*S100) +(1-0.002516*L100)^2*1165*COS(2*Q100+P100) +8752*COS(2*R100-P100-2*S100))/1000</f>
        <v>403517.999131513</v>
      </c>
      <c r="AV100" s="54" t="n">
        <f aca="false">ATAN(0.99664719*TAN($A$10*input!$E$2))</f>
        <v>0.871010436227447</v>
      </c>
      <c r="AW100" s="54" t="n">
        <f aca="false">COS(AV100)</f>
        <v>0.644053912545845</v>
      </c>
      <c r="AX100" s="54" t="n">
        <f aca="false">0.99664719*SIN(AV100)</f>
        <v>0.762415269897027</v>
      </c>
      <c r="AY100" s="54" t="n">
        <f aca="false">6378.14/AU100</f>
        <v>0.0158063333326583</v>
      </c>
      <c r="AZ100" s="55" t="n">
        <f aca="false">M100-15*AH100</f>
        <v>104.290974105094</v>
      </c>
      <c r="BA100" s="56" t="n">
        <f aca="false">COS($A$10*AG100)*SIN($A$10*AZ100)</f>
        <v>0.866358188207333</v>
      </c>
      <c r="BB100" s="56" t="n">
        <f aca="false">COS($A$10*AG100)*COS($A$10*AZ100)-AW100*AY100</f>
        <v>-0.230866723611868</v>
      </c>
      <c r="BC100" s="56" t="n">
        <f aca="false">SIN($A$10*AG100)-AX100*AY100</f>
        <v>0.435967890836174</v>
      </c>
      <c r="BD100" s="57" t="n">
        <f aca="false">SQRT(BA100^2+BB100^2+BC100^2)</f>
        <v>0.996967379699714</v>
      </c>
      <c r="BE100" s="58" t="n">
        <f aca="false">AU100*BD100</f>
        <v>402294.282255815</v>
      </c>
    </row>
    <row r="101" customFormat="false" ht="15" hidden="false" customHeight="false" outlineLevel="0" collapsed="false">
      <c r="D101" s="41" t="n">
        <f aca="false">K101-INT(275*E101/9)+IF($A$8="common year",2,1)*INT((E101+9)/12)+30</f>
        <v>10</v>
      </c>
      <c r="E101" s="41" t="n">
        <f aca="false">IF(K101&lt;32,1,INT(9*(IF($A$8="common year",2,1)+K101)/275+0.98))</f>
        <v>4</v>
      </c>
      <c r="F101" s="42" t="n">
        <f aca="false">AM101</f>
        <v>16.8864187190844</v>
      </c>
      <c r="G101" s="60" t="n">
        <f aca="false">F101+1.02/(TAN($A$10*(F101+10.3/(F101+5.11)))*60)</f>
        <v>16.9408165443376</v>
      </c>
      <c r="H101" s="43" t="n">
        <f aca="false">100*(1+COS($A$10*AQ101))/2</f>
        <v>56.9436214434404</v>
      </c>
      <c r="I101" s="43" t="n">
        <f aca="false">IF(AI101&gt;180,AT101-180,AT101+180)</f>
        <v>288.287831056647</v>
      </c>
      <c r="J101" s="61" t="n">
        <f aca="false">$J$2+K100</f>
        <v>2459679.5</v>
      </c>
      <c r="K101" s="21" t="n">
        <v>100</v>
      </c>
      <c r="L101" s="62" t="n">
        <f aca="false">(J101-2451545)/36525</f>
        <v>0.222710472279261</v>
      </c>
      <c r="M101" s="63" t="n">
        <f aca="false">MOD(280.46061837+360.98564736629*(J101-2451545)+0.000387933*L101^2-L101^3/38710000+$B$7,360)</f>
        <v>213.209138697013</v>
      </c>
      <c r="N101" s="30" t="n">
        <f aca="false">0.606433+1336.855225*L101 - INT(0.606433+1336.855225*L101)</f>
        <v>0.338091528747384</v>
      </c>
      <c r="O101" s="35" t="n">
        <f aca="false">22640*SIN(P101)-4586*SIN(P101-2*R101)+2370*SIN(2*R101)+769*SIN(2*P101)-668*SIN(Q101)-412*SIN(2*S101)-212*SIN(2*P101-2*R101)-206*SIN(P101+Q101-2*R101)+192*SIN(P101+2*R101)-165*SIN(Q101-2*R101)-125*SIN(R101)-110*SIN(P101+Q101)+148*SIN(P101-Q101)-55*SIN(2*S101-2*R101)</f>
        <v>-13405.8391864203</v>
      </c>
      <c r="P101" s="32" t="n">
        <f aca="false">2*PI()*(0.374897+1325.55241*L101 - INT(0.374897+1325.55241*L101))</f>
        <v>3.70268274779259</v>
      </c>
      <c r="Q101" s="36" t="n">
        <f aca="false">2*PI()*(0.993133+99.997361*L101 - INT(0.993133+99.997361*L101))</f>
        <v>1.6562004916023</v>
      </c>
      <c r="R101" s="36" t="n">
        <f aca="false">2*PI()*(0.827361+1236.853086*L101 - INT(0.827361+1236.853086*L101))</f>
        <v>1.8063901600287</v>
      </c>
      <c r="S101" s="36" t="n">
        <f aca="false">2*PI()*(0.259086+1342.227825*L101 - INT(0.259086+1342.227825*L101))</f>
        <v>1.1767074806269</v>
      </c>
      <c r="T101" s="36" t="n">
        <f aca="false">S101+(O101+412*SIN(2*S101)+541*SIN(Q101))/206264.8062</f>
        <v>1.11574373897208</v>
      </c>
      <c r="U101" s="36" t="n">
        <f aca="false">S101-2*R101</f>
        <v>-2.4360728394305</v>
      </c>
      <c r="V101" s="34" t="n">
        <f aca="false">-526*SIN(U101)+44*SIN(P101+U101)-31*SIN(-P101+U101)-23*SIN(Q101+U101)+11*SIN(-Q101+U101)-25*SIN(-2*P101+S101)+21*SIN(-P101+S101)</f>
        <v>390.228260129811</v>
      </c>
      <c r="W101" s="36" t="n">
        <f aca="false">2*PI()*(N101+O101/1296000-INT(N101+O101/1296000))</f>
        <v>2.05929838346414</v>
      </c>
      <c r="X101" s="35" t="n">
        <f aca="false">W101*180/PI()</f>
        <v>117.989106130608</v>
      </c>
      <c r="Y101" s="36" t="n">
        <f aca="false">(18520*SIN(T101)+V101)/206264.8062</f>
        <v>0.0825424113239259</v>
      </c>
      <c r="Z101" s="36" t="n">
        <f aca="false">Y101*180/PI()</f>
        <v>4.72933179969381</v>
      </c>
      <c r="AA101" s="36" t="n">
        <f aca="false">COS(Y101)*COS(W101)</f>
        <v>-0.467705841996592</v>
      </c>
      <c r="AB101" s="36" t="n">
        <f aca="false">COS(Y101)*SIN(W101)</f>
        <v>0.880030371693122</v>
      </c>
      <c r="AC101" s="36" t="n">
        <f aca="false">SIN(Y101)</f>
        <v>0.0824487129064113</v>
      </c>
      <c r="AD101" s="36" t="n">
        <f aca="false">COS($A$10*(23.4393-46.815*L101/3600))*AB101-SIN($A$10*(23.4393-46.815*L101/3600))*AC101</f>
        <v>0.774637316720691</v>
      </c>
      <c r="AE101" s="36" t="n">
        <f aca="false">SIN($A$10*(23.4393-46.815*L101/3600))*AB101+COS($A$10*(23.4393-46.815*L101/3600))*AC101</f>
        <v>0.425662158179497</v>
      </c>
      <c r="AF101" s="36" t="n">
        <f aca="false">SQRT(1-AE101*AE101)</f>
        <v>0.904882161993468</v>
      </c>
      <c r="AG101" s="35" t="n">
        <f aca="false">ATAN(AE101/AF101)/$A$10</f>
        <v>25.1925830640961</v>
      </c>
      <c r="AH101" s="36" t="n">
        <f aca="false">IF(24*ATAN(AD101/(AA101+AF101))/PI()&gt;0,24*ATAN(AD101/(AA101+AF101))/PI(),24*ATAN(AD101/(AA101+AF101))/PI()+24)</f>
        <v>8.0748324026441</v>
      </c>
      <c r="AI101" s="63" t="n">
        <f aca="false">IF(M101-15*AH101&gt;0,M101-15*AH101,360+M101-15*AH101)</f>
        <v>92.0866526573518</v>
      </c>
      <c r="AJ101" s="32" t="n">
        <f aca="false">0.950724+0.051818*COS(P101)+0.009531*COS(2*R101-P101)+0.007843*COS(2*R101)+0.002824*COS(2*P101)+0.000857*COS(2*R101+P101)+0.000533*COS(2*R101-Q101)*(1-0.002495*(J101-2415020)/36525)+0.000401*COS(2*R101-Q101-P101)*(1-0.002495*(J101-2415020)/36525)+0.00032*COS(P101-Q101)*(1-0.002495*(J101-2415020)/36525)-0.000271*COS(R101)</f>
        <v>0.910666963003851</v>
      </c>
      <c r="AK101" s="36" t="n">
        <f aca="false">ASIN(COS($A$10*$B$5)*COS($A$10*AG101)*COS($A$10*AI101)+SIN($A$10*$B$5)*SIN($A$10*AG101))/$A$10</f>
        <v>17.7520174238335</v>
      </c>
      <c r="AL101" s="32" t="n">
        <f aca="false">ASIN((0.9983271+0.0016764*COS($A$10*2*$B$5))*COS($A$10*AK101)*SIN($A$10*AJ101))/$A$10</f>
        <v>0.86559870474905</v>
      </c>
      <c r="AM101" s="32" t="n">
        <f aca="false">AK101-AL101</f>
        <v>16.8864187190844</v>
      </c>
      <c r="AN101" s="35" t="n">
        <f aca="false"> MOD(280.4664567 + 360007.6982779*L101/10 + 0.03032028*L101^2/100 + L101^3/49931000,360)</f>
        <v>18.2149225031408</v>
      </c>
      <c r="AO101" s="32" t="n">
        <f aca="false"> AN101 + (1.9146 - 0.004817*L101 - 0.000014*L101^2)*SIN(Q101)+ (0.019993 - 0.000101*L101)*SIN(2*Q101)+ 0.00029*SIN(3*Q101)</f>
        <v>20.1177996453961</v>
      </c>
      <c r="AP101" s="32" t="n">
        <f aca="false">ACOS(COS(W101-$A$10*AO101)*COS(Y101))/$A$10</f>
        <v>97.8443381143053</v>
      </c>
      <c r="AQ101" s="34" t="n">
        <f aca="false">180 - AP101 -0.1468*(1-0.0549*SIN(Q101))*SIN($A$10*AP101)/(1-0.0167*SIN($A$10*AO101))</f>
        <v>82.0173961729255</v>
      </c>
      <c r="AR101" s="64" t="n">
        <f aca="false">SIN($A$10*AI101)</f>
        <v>0.999336903000701</v>
      </c>
      <c r="AS101" s="64" t="n">
        <f aca="false">COS($A$10*AI101)*SIN($A$10*$B$5) - TAN($A$10*AG101)*COS($A$10*$B$5)</f>
        <v>-0.330263636476664</v>
      </c>
      <c r="AT101" s="24" t="n">
        <f aca="false">IF(OR(AND(AR101*AS101&gt;0), AND(AR101&lt;0,AS101&gt;0)), MOD(ATAN2(AS101,AR101)/$A$10+360,360),  ATAN2(AS101,AR101)/$A$10)</f>
        <v>108.287831056647</v>
      </c>
      <c r="AU101" s="39" t="n">
        <f aca="false"> 385000.56 + (-20905355*COS(P101) - 3699111*COS(2*R101-P101) - 2955968*COS(2*R101) - 569925*COS(2*P101) + (1-0.002516*L101)*48888*COS(Q101) - 3149*COS(2*S101)  +246158*COS(2*R101-2*P101) -(1 - 0.002516*L101)*152138*COS(2*R101-Q101-P101) -170733*COS(2*R101+P101) -(1 - 0.002516*L101)*204586*COS(2*R101-Q101) -(1 - 0.002516*L101)*129620*COS(Q101-P101)  + 108743*COS(R101) +(1-0.002516*L101)*104755*COS(Q101+P101) +10321*COS(2*R101-2*S101) +79661*COS(P101-2*S101) -34782*COS(4*R101-P101) -23210*COS(3*P101)  -21636*COS(4*R101-2*P101) +(1 - 0.002516*L101)*24208*COS(2*R101+Q101-P101) +(1 - 0.002516*L101)*30824*COS(2*R101+Q101) -8379*COS(R101-P101) -(1 - 0.002516*L101)*16675*COS(R101+Q101)  -(1 - 0.002516*L101)*12831*COS(2*R101-Q101+P101) -10445*COS(2*R101+2*P101) -11650*COS(4*R101) +14403*COS(2*R101-3*P101) -(1-0.002516*L101)*7003*COS(Q101-2*P101)  + (1 - 0.002516*L101)*10056*COS(2*R101-Q101-2*P101) +6322*COS(R101+P101) -(1 - 0.002516*L101)*(1-0.002516*L101)*9884*COS(2*R101-2*Q101) +(1-0.002516*L101)*5751*COS(Q101+2*P101) - (1-0.002516*L101)^2*4950*COS(2*R101-2*Q101-P101)  +4130*COS(2*R101+P101-2*S101) -(1-0.002516*L101)*3958*COS(4*R101-Q101-P101) +3258*COS(3*R101-P101) +(1 - 0.002516*L101)*2616*COS(2*R101+Q101+P101) -(1 - 0.002516*L101)*1897*COS(4*R101-Q101-2*P101)  -(1-0.002516*L101)^2*2117*COS(2*Q101-P101) +(1-0.002516*L101)^2*2354*COS(2*R101+2*Q101-P101) -1423*COS(4*R101+P101) -1117*COS(4*P101) -(1-0.002516*L101)*1571*COS(4*R101-Q101)  -1739*COS(R101-2*P101) -4421*COS(2*P101-2*S101) +(1-0.002516*L101)^2*1165*COS(2*Q101+P101) +8752*COS(2*R101-P101-2*S101))/1000</f>
        <v>401351.470011045</v>
      </c>
      <c r="AV101" s="54" t="n">
        <f aca="false">ATAN(0.99664719*TAN($A$10*input!$E$2))</f>
        <v>0.871010436227447</v>
      </c>
      <c r="AW101" s="54" t="n">
        <f aca="false">COS(AV101)</f>
        <v>0.644053912545845</v>
      </c>
      <c r="AX101" s="54" t="n">
        <f aca="false">0.99664719*SIN(AV101)</f>
        <v>0.762415269897027</v>
      </c>
      <c r="AY101" s="54" t="n">
        <f aca="false">6378.14/AU101</f>
        <v>0.0158916572544869</v>
      </c>
      <c r="AZ101" s="55" t="n">
        <f aca="false">M101-15*AH101</f>
        <v>92.0866526573518</v>
      </c>
      <c r="BA101" s="56" t="n">
        <f aca="false">COS($A$10*AG101)*SIN($A$10*AZ101)</f>
        <v>0.904282137347131</v>
      </c>
      <c r="BB101" s="56" t="n">
        <f aca="false">COS($A$10*AG101)*COS($A$10*AZ101)-AW101*AY101</f>
        <v>-0.0431826661716713</v>
      </c>
      <c r="BC101" s="56" t="n">
        <f aca="false">SIN($A$10*AG101)-AX101*AY101</f>
        <v>0.413546116024707</v>
      </c>
      <c r="BD101" s="57" t="n">
        <f aca="false">SQRT(BA101^2+BB101^2+BC101^2)</f>
        <v>0.995294587879342</v>
      </c>
      <c r="BE101" s="58" t="n">
        <f aca="false">AU101*BD101</f>
        <v>399462.945939412</v>
      </c>
    </row>
    <row r="102" customFormat="false" ht="15" hidden="false" customHeight="false" outlineLevel="0" collapsed="false">
      <c r="D102" s="41" t="n">
        <f aca="false">K102-INT(275*E102/9)+IF($A$8="common year",2,1)*INT((E102+9)/12)+30</f>
        <v>11</v>
      </c>
      <c r="E102" s="41" t="n">
        <f aca="false">IF(K102&lt;32,1,INT(9*(IF($A$8="common year",2,1)+K102)/275+0.98))</f>
        <v>4</v>
      </c>
      <c r="F102" s="42" t="n">
        <f aca="false">AM102</f>
        <v>22.4893582294662</v>
      </c>
      <c r="G102" s="60" t="n">
        <f aca="false">F102+1.02/(TAN($A$10*(F102+10.3/(F102+5.11)))*60)</f>
        <v>22.5296763533136</v>
      </c>
      <c r="H102" s="43" t="n">
        <f aca="false">100*(1+COS($A$10*AQ102))/2</f>
        <v>66.3562168700346</v>
      </c>
      <c r="I102" s="43" t="n">
        <f aca="false">IF(AI102&gt;180,AT102-180,AT102+180)</f>
        <v>277.867715750745</v>
      </c>
      <c r="J102" s="61" t="n">
        <f aca="false">$J$2+K101</f>
        <v>2459680.5</v>
      </c>
      <c r="K102" s="21" t="n">
        <v>101</v>
      </c>
      <c r="L102" s="62" t="n">
        <f aca="false">(J102-2451545)/36525</f>
        <v>0.222737850787132</v>
      </c>
      <c r="M102" s="63" t="n">
        <f aca="false">MOD(280.46061837+360.98564736629*(J102-2451545)+0.000387933*L102^2-L102^3/38710000+$B$7,360)</f>
        <v>214.194786068052</v>
      </c>
      <c r="N102" s="30" t="n">
        <f aca="false">0.606433+1336.855225*L102 - INT(0.606433+1336.855225*L102)</f>
        <v>0.374692630047889</v>
      </c>
      <c r="O102" s="35" t="n">
        <f aca="false">22640*SIN(P102)-4586*SIN(P102-2*R102)+2370*SIN(2*R102)+769*SIN(2*P102)-668*SIN(Q102)-412*SIN(2*S102)-212*SIN(2*P102-2*R102)-206*SIN(P102+Q102-2*R102)+192*SIN(P102+2*R102)-165*SIN(Q102-2*R102)-125*SIN(R102)-110*SIN(P102+Q102)+148*SIN(P102-Q102)-55*SIN(2*S102-2*R102)</f>
        <v>-17098.4802846123</v>
      </c>
      <c r="P102" s="32" t="n">
        <f aca="false">2*PI()*(0.374897+1325.55241*L102 - INT(0.374897+1325.55241*L102))</f>
        <v>3.93070989156841</v>
      </c>
      <c r="Q102" s="36" t="n">
        <f aca="false">2*PI()*(0.993133+99.997361*L102 - INT(0.993133+99.997361*L102))</f>
        <v>1.67340246146929</v>
      </c>
      <c r="R102" s="36" t="n">
        <f aca="false">2*PI()*(0.827361+1236.853086*L102 - INT(0.827361+1236.853086*L102))</f>
        <v>2.01915887014773</v>
      </c>
      <c r="S102" s="36" t="n">
        <f aca="false">2*PI()*(0.259086+1342.227825*L102 - INT(0.259086+1342.227825*L102))</f>
        <v>1.40760319996791</v>
      </c>
      <c r="T102" s="36" t="n">
        <f aca="false">S102+(O102+412*SIN(2*S102)+541*SIN(Q102))/206264.8062</f>
        <v>1.32795689681212</v>
      </c>
      <c r="U102" s="36" t="n">
        <f aca="false">S102-2*R102</f>
        <v>-2.63071454032754</v>
      </c>
      <c r="V102" s="34" t="n">
        <f aca="false">-526*SIN(U102)+44*SIN(P102+U102)-31*SIN(-P102+U102)-23*SIN(Q102+U102)+11*SIN(-Q102+U102)-25*SIN(-2*P102+S102)+21*SIN(-P102+S102)</f>
        <v>329.066336308647</v>
      </c>
      <c r="W102" s="36" t="n">
        <f aca="false">2*PI()*(N102+O102/1296000-INT(N102+O102/1296000))</f>
        <v>2.27136745614376</v>
      </c>
      <c r="X102" s="35" t="n">
        <f aca="false">W102*180/PI()</f>
        <v>130.139768960403</v>
      </c>
      <c r="Y102" s="36" t="n">
        <f aca="false">(18520*SIN(T102)+V102)/206264.8062</f>
        <v>0.0887484083148846</v>
      </c>
      <c r="Z102" s="36" t="n">
        <f aca="false">Y102*180/PI()</f>
        <v>5.08490923494663</v>
      </c>
      <c r="AA102" s="36" t="n">
        <f aca="false">COS(Y102)*COS(W102)</f>
        <v>-0.642117332551756</v>
      </c>
      <c r="AB102" s="36" t="n">
        <f aca="false">COS(Y102)*SIN(W102)</f>
        <v>0.761465500301743</v>
      </c>
      <c r="AC102" s="36" t="n">
        <f aca="false">SIN(Y102)</f>
        <v>0.0886319529675045</v>
      </c>
      <c r="AD102" s="36" t="n">
        <f aca="false">COS($A$10*(23.4393-46.815*L102/3600))*AB102-SIN($A$10*(23.4393-46.815*L102/3600))*AC102</f>
        <v>0.663394534157983</v>
      </c>
      <c r="AE102" s="36" t="n">
        <f aca="false">SIN($A$10*(23.4393-46.815*L102/3600))*AB102+COS($A$10*(23.4393-46.815*L102/3600))*AC102</f>
        <v>0.384178374307991</v>
      </c>
      <c r="AF102" s="36" t="n">
        <f aca="false">SQRT(1-AE102*AE102)</f>
        <v>0.92325888932307</v>
      </c>
      <c r="AG102" s="35" t="n">
        <f aca="false">ATAN(AE102/AF102)/$A$10</f>
        <v>22.592742205166</v>
      </c>
      <c r="AH102" s="36" t="n">
        <f aca="false">IF(24*ATAN(AD102/(AA102+AF102))/PI()&gt;0,24*ATAN(AD102/(AA102+AF102))/PI(),24*ATAN(AD102/(AA102+AF102))/PI()+24)</f>
        <v>8.93775182695462</v>
      </c>
      <c r="AI102" s="63" t="n">
        <f aca="false">IF(M102-15*AH102&gt;0,M102-15*AH102,360+M102-15*AH102)</f>
        <v>80.1285086637327</v>
      </c>
      <c r="AJ102" s="32" t="n">
        <f aca="false">0.950724+0.051818*COS(P102)+0.009531*COS(2*R102-P102)+0.007843*COS(2*R102)+0.002824*COS(2*P102)+0.000857*COS(2*R102+P102)+0.000533*COS(2*R102-Q102)*(1-0.002495*(J102-2415020)/36525)+0.000401*COS(2*R102-Q102-P102)*(1-0.002495*(J102-2415020)/36525)+0.00032*COS(P102-Q102)*(1-0.002495*(J102-2415020)/36525)-0.000271*COS(R102)</f>
        <v>0.918219036597489</v>
      </c>
      <c r="AK102" s="36" t="n">
        <f aca="false">ASIN(COS($A$10*$B$5)*COS($A$10*AG102)*COS($A$10*AI102)+SIN($A$10*$B$5)*SIN($A$10*AG102))/$A$10</f>
        <v>23.3308358921573</v>
      </c>
      <c r="AL102" s="32" t="n">
        <f aca="false">ASIN((0.9983271+0.0016764*COS($A$10*2*$B$5))*COS($A$10*AK102)*SIN($A$10*AJ102))/$A$10</f>
        <v>0.841477662691145</v>
      </c>
      <c r="AM102" s="32" t="n">
        <f aca="false">AK102-AL102</f>
        <v>22.4893582294662</v>
      </c>
      <c r="AN102" s="35" t="n">
        <f aca="false"> MOD(280.4664567 + 360007.6982779*L102/10 + 0.03032028*L102^2/100 + L102^3/49931000,360)</f>
        <v>19.20056986694</v>
      </c>
      <c r="AO102" s="32" t="n">
        <f aca="false"> AN102 + (1.9146 - 0.004817*L102 - 0.000014*L102^2)*SIN(Q102)+ (0.019993 - 0.000101*L102)*SIN(2*Q102)+ 0.00029*SIN(3*Q102)</f>
        <v>21.09968639935</v>
      </c>
      <c r="AP102" s="32" t="n">
        <f aca="false">ACOS(COS(W102-$A$10*AO102)*COS(Y102))/$A$10</f>
        <v>108.962281585953</v>
      </c>
      <c r="AQ102" s="34" t="n">
        <f aca="false">180 - AP102 -0.1468*(1-0.0549*SIN(Q102))*SIN($A$10*AP102)/(1-0.0167*SIN($A$10*AO102))</f>
        <v>70.9056728904727</v>
      </c>
      <c r="AR102" s="64" t="n">
        <f aca="false">SIN($A$10*AI102)</f>
        <v>0.985194750977146</v>
      </c>
      <c r="AS102" s="64" t="n">
        <f aca="false">COS($A$10*AI102)*SIN($A$10*$B$5) - TAN($A$10*AG102)*COS($A$10*$B$5)</f>
        <v>-0.136141299984658</v>
      </c>
      <c r="AT102" s="24" t="n">
        <f aca="false">IF(OR(AND(AR102*AS102&gt;0), AND(AR102&lt;0,AS102&gt;0)), MOD(ATAN2(AS102,AR102)/$A$10+360,360),  ATAN2(AS102,AR102)/$A$10)</f>
        <v>97.8677157507449</v>
      </c>
      <c r="AU102" s="39" t="n">
        <f aca="false"> 385000.56 + (-20905355*COS(P102) - 3699111*COS(2*R102-P102) - 2955968*COS(2*R102) - 569925*COS(2*P102) + (1-0.002516*L102)*48888*COS(Q102) - 3149*COS(2*S102)  +246158*COS(2*R102-2*P102) -(1 - 0.002516*L102)*152138*COS(2*R102-Q102-P102) -170733*COS(2*R102+P102) -(1 - 0.002516*L102)*204586*COS(2*R102-Q102) -(1 - 0.002516*L102)*129620*COS(Q102-P102)  + 108743*COS(R102) +(1-0.002516*L102)*104755*COS(Q102+P102) +10321*COS(2*R102-2*S102) +79661*COS(P102-2*S102) -34782*COS(4*R102-P102) -23210*COS(3*P102)  -21636*COS(4*R102-2*P102) +(1 - 0.002516*L102)*24208*COS(2*R102+Q102-P102) +(1 - 0.002516*L102)*30824*COS(2*R102+Q102) -8379*COS(R102-P102) -(1 - 0.002516*L102)*16675*COS(R102+Q102)  -(1 - 0.002516*L102)*12831*COS(2*R102-Q102+P102) -10445*COS(2*R102+2*P102) -11650*COS(4*R102) +14403*COS(2*R102-3*P102) -(1-0.002516*L102)*7003*COS(Q102-2*P102)  + (1 - 0.002516*L102)*10056*COS(2*R102-Q102-2*P102) +6322*COS(R102+P102) -(1 - 0.002516*L102)*(1-0.002516*L102)*9884*COS(2*R102-2*Q102) +(1-0.002516*L102)*5751*COS(Q102+2*P102) - (1-0.002516*L102)^2*4950*COS(2*R102-2*Q102-P102)  +4130*COS(2*R102+P102-2*S102) -(1-0.002516*L102)*3958*COS(4*R102-Q102-P102) +3258*COS(3*R102-P102) +(1 - 0.002516*L102)*2616*COS(2*R102+Q102+P102) -(1 - 0.002516*L102)*1897*COS(4*R102-Q102-2*P102)  -(1-0.002516*L102)^2*2117*COS(2*Q102-P102) +(1-0.002516*L102)^2*2354*COS(2*R102+2*Q102-P102) -1423*COS(4*R102+P102) -1117*COS(4*P102) -(1-0.002516*L102)*1571*COS(4*R102-Q102)  -1739*COS(R102-2*P102) -4421*COS(2*P102-2*S102) +(1-0.002516*L102)^2*1165*COS(2*Q102+P102) +8752*COS(2*R102-P102-2*S102))/1000</f>
        <v>398009.719199065</v>
      </c>
      <c r="AV102" s="54" t="n">
        <f aca="false">ATAN(0.99664719*TAN($A$10*input!$E$2))</f>
        <v>0.871010436227447</v>
      </c>
      <c r="AW102" s="54" t="n">
        <f aca="false">COS(AV102)</f>
        <v>0.644053912545845</v>
      </c>
      <c r="AX102" s="54" t="n">
        <f aca="false">0.99664719*SIN(AV102)</f>
        <v>0.762415269897027</v>
      </c>
      <c r="AY102" s="54" t="n">
        <f aca="false">6378.14/AU102</f>
        <v>0.0160250860527603</v>
      </c>
      <c r="AZ102" s="55" t="n">
        <f aca="false">M102-15*AH102</f>
        <v>80.1285086637327</v>
      </c>
      <c r="BA102" s="56" t="n">
        <f aca="false">COS($A$10*AG102)*SIN($A$10*AZ102)</f>
        <v>0.909589811554079</v>
      </c>
      <c r="BB102" s="56" t="n">
        <f aca="false">COS($A$10*AG102)*COS($A$10*AZ102)-AW102*AY102</f>
        <v>0.147961485761541</v>
      </c>
      <c r="BC102" s="56" t="n">
        <f aca="false">SIN($A$10*AG102)-AX102*AY102</f>
        <v>0.371960603999953</v>
      </c>
      <c r="BD102" s="57" t="n">
        <f aca="false">SQRT(BA102^2+BB102^2+BC102^2)</f>
        <v>0.993781121515073</v>
      </c>
      <c r="BE102" s="58" t="n">
        <f aca="false">AU102*BD102</f>
        <v>395534.545119546</v>
      </c>
    </row>
    <row r="103" customFormat="false" ht="15" hidden="false" customHeight="false" outlineLevel="0" collapsed="false">
      <c r="D103" s="41" t="n">
        <f aca="false">K103-INT(275*E103/9)+IF($A$8="common year",2,1)*INT((E103+9)/12)+30</f>
        <v>12</v>
      </c>
      <c r="E103" s="41" t="n">
        <f aca="false">IF(K103&lt;32,1,INT(9*(IF($A$8="common year",2,1)+K103)/275+0.98))</f>
        <v>4</v>
      </c>
      <c r="F103" s="42" t="n">
        <f aca="false">AM103</f>
        <v>27.3033110848499</v>
      </c>
      <c r="G103" s="60" t="n">
        <f aca="false">F103+1.02/(TAN($A$10*(F103+10.3/(F103+5.11)))*60)</f>
        <v>27.3357999643733</v>
      </c>
      <c r="H103" s="43" t="n">
        <f aca="false">100*(1+COS($A$10*AQ103))/2</f>
        <v>75.3361280409217</v>
      </c>
      <c r="I103" s="43" t="n">
        <f aca="false">IF(AI103&gt;180,AT103-180,AT103+180)</f>
        <v>266.27688819504</v>
      </c>
      <c r="J103" s="61" t="n">
        <f aca="false">$J$2+K102</f>
        <v>2459681.5</v>
      </c>
      <c r="K103" s="21" t="n">
        <v>102</v>
      </c>
      <c r="L103" s="62" t="n">
        <f aca="false">(J103-2451545)/36525</f>
        <v>0.222765229295003</v>
      </c>
      <c r="M103" s="63" t="n">
        <f aca="false">MOD(280.46061837+360.98564736629*(J103-2451545)+0.000387933*L103^2-L103^3/38710000+$B$7,360)</f>
        <v>215.180433439091</v>
      </c>
      <c r="N103" s="30" t="n">
        <f aca="false">0.606433+1336.855225*L103 - INT(0.606433+1336.855225*L103)</f>
        <v>0.411293731348394</v>
      </c>
      <c r="O103" s="35" t="n">
        <f aca="false">22640*SIN(P103)-4586*SIN(P103-2*R103)+2370*SIN(2*R103)+769*SIN(2*P103)-668*SIN(Q103)-412*SIN(2*S103)-212*SIN(2*P103-2*R103)-206*SIN(P103+Q103-2*R103)+192*SIN(P103+2*R103)-165*SIN(Q103-2*R103)-125*SIN(R103)-110*SIN(P103+Q103)+148*SIN(P103-Q103)-55*SIN(2*S103-2*R103)</f>
        <v>-19872.6992078683</v>
      </c>
      <c r="P103" s="32" t="n">
        <f aca="false">2*PI()*(0.374897+1325.55241*L103 - INT(0.374897+1325.55241*L103))</f>
        <v>4.15873703534423</v>
      </c>
      <c r="Q103" s="36" t="n">
        <f aca="false">2*PI()*(0.993133+99.997361*L103 - INT(0.993133+99.997361*L103))</f>
        <v>1.69060443133627</v>
      </c>
      <c r="R103" s="36" t="n">
        <f aca="false">2*PI()*(0.827361+1236.853086*L103 - INT(0.827361+1236.853086*L103))</f>
        <v>2.23192758026675</v>
      </c>
      <c r="S103" s="36" t="n">
        <f aca="false">2*PI()*(0.259086+1342.227825*L103 - INT(0.259086+1342.227825*L103))</f>
        <v>1.63849891930891</v>
      </c>
      <c r="T103" s="36" t="n">
        <f aca="false">S103+(O103+412*SIN(2*S103)+541*SIN(Q103))/206264.8062</f>
        <v>1.54448775814216</v>
      </c>
      <c r="U103" s="36" t="n">
        <f aca="false">S103-2*R103</f>
        <v>-2.82535624122459</v>
      </c>
      <c r="V103" s="34" t="n">
        <f aca="false">-526*SIN(U103)+44*SIN(P103+U103)-31*SIN(-P103+U103)-23*SIN(Q103+U103)+11*SIN(-Q103+U103)-25*SIN(-2*P103+S103)+21*SIN(-P103+S103)</f>
        <v>255.389613129873</v>
      </c>
      <c r="W103" s="36" t="n">
        <f aca="false">2*PI()*(N103+O103/1296000-INT(N103+O103/1296000))</f>
        <v>2.48788916517781</v>
      </c>
      <c r="X103" s="35" t="n">
        <f aca="false">W103*180/PI()</f>
        <v>142.545549061014</v>
      </c>
      <c r="Y103" s="36" t="n">
        <f aca="false">(18520*SIN(T103)+V103)/206264.8062</f>
        <v>0.090994586545856</v>
      </c>
      <c r="Z103" s="36" t="n">
        <f aca="false">Y103*180/PI()</f>
        <v>5.21360576761545</v>
      </c>
      <c r="AA103" s="36" t="n">
        <f aca="false">COS(Y103)*COS(W103)</f>
        <v>-0.79055281919547</v>
      </c>
      <c r="AB103" s="36" t="n">
        <f aca="false">COS(Y103)*SIN(W103)</f>
        <v>0.605614607608108</v>
      </c>
      <c r="AC103" s="36" t="n">
        <f aca="false">SIN(Y103)</f>
        <v>0.0908690657692279</v>
      </c>
      <c r="AD103" s="36" t="n">
        <f aca="false">COS($A$10*(23.4393-46.815*L103/3600))*AB103-SIN($A$10*(23.4393-46.815*L103/3600))*AC103</f>
        <v>0.519511244616201</v>
      </c>
      <c r="AE103" s="36" t="n">
        <f aca="false">SIN($A$10*(23.4393-46.815*L103/3600))*AB103+COS($A$10*(23.4393-46.815*L103/3600))*AC103</f>
        <v>0.324244208551858</v>
      </c>
      <c r="AF103" s="36" t="n">
        <f aca="false">SQRT(1-AE103*AE103)</f>
        <v>0.945973410419436</v>
      </c>
      <c r="AG103" s="35" t="n">
        <f aca="false">ATAN(AE103/AF103)/$A$10</f>
        <v>18.9197918882555</v>
      </c>
      <c r="AH103" s="36" t="n">
        <f aca="false">IF(24*ATAN(AD103/(AA103+AF103))/PI()&gt;0,24*ATAN(AD103/(AA103+AF103))/PI(),24*ATAN(AD103/(AA103+AF103))/PI()+24)</f>
        <v>9.77927404734294</v>
      </c>
      <c r="AI103" s="63" t="n">
        <f aca="false">IF(M103-15*AH103&gt;0,M103-15*AH103,360+M103-15*AH103)</f>
        <v>68.4913227289468</v>
      </c>
      <c r="AJ103" s="32" t="n">
        <f aca="false">0.950724+0.051818*COS(P103)+0.009531*COS(2*R103-P103)+0.007843*COS(2*R103)+0.002824*COS(2*P103)+0.000857*COS(2*R103+P103)+0.000533*COS(2*R103-Q103)*(1-0.002495*(J103-2415020)/36525)+0.000401*COS(2*R103-Q103-P103)*(1-0.002495*(J103-2415020)/36525)+0.00032*COS(P103-Q103)*(1-0.002495*(J103-2415020)/36525)-0.000271*COS(R103)</f>
        <v>0.92827645840906</v>
      </c>
      <c r="AK103" s="36" t="n">
        <f aca="false">ASIN(COS($A$10*$B$5)*COS($A$10*AG103)*COS($A$10*AI103)+SIN($A$10*$B$5)*SIN($A$10*AG103))/$A$10</f>
        <v>28.1203970003329</v>
      </c>
      <c r="AL103" s="32" t="n">
        <f aca="false">ASIN((0.9983271+0.0016764*COS($A$10*2*$B$5))*COS($A$10*AK103)*SIN($A$10*AJ103))/$A$10</f>
        <v>0.817085915482993</v>
      </c>
      <c r="AM103" s="32" t="n">
        <f aca="false">AK103-AL103</f>
        <v>27.3033110848499</v>
      </c>
      <c r="AN103" s="35" t="n">
        <f aca="false"> MOD(280.4664567 + 360007.6982779*L103/10 + 0.03032028*L103^2/100 + L103^3/49931000,360)</f>
        <v>20.1862172307428</v>
      </c>
      <c r="AO103" s="32" t="n">
        <f aca="false"> AN103 + (1.9146 - 0.004817*L103 - 0.000014*L103^2)*SIN(Q103)+ (0.019993 - 0.000101*L103)*SIN(2*Q103)+ 0.00029*SIN(3*Q103)</f>
        <v>22.0810154706949</v>
      </c>
      <c r="AP103" s="32" t="n">
        <f aca="false">ACOS(COS(W103-$A$10*AO103)*COS(Y103))/$A$10</f>
        <v>120.325202661377</v>
      </c>
      <c r="AQ103" s="34" t="n">
        <f aca="false">180 - AP103 -0.1468*(1-0.0549*SIN(Q103))*SIN($A$10*AP103)/(1-0.0167*SIN($A$10*AO103))</f>
        <v>59.55423330787</v>
      </c>
      <c r="AR103" s="64" t="n">
        <f aca="false">SIN($A$10*AI103)</f>
        <v>0.930362051819179</v>
      </c>
      <c r="AS103" s="64" t="n">
        <f aca="false">COS($A$10*AI103)*SIN($A$10*$B$5) - TAN($A$10*AG103)*COS($A$10*$B$5)</f>
        <v>0.0605406810490413</v>
      </c>
      <c r="AT103" s="24" t="n">
        <f aca="false">IF(OR(AND(AR103*AS103&gt;0), AND(AR103&lt;0,AS103&gt;0)), MOD(ATAN2(AS103,AR103)/$A$10+360,360),  ATAN2(AS103,AR103)/$A$10)</f>
        <v>86.2768881950395</v>
      </c>
      <c r="AU103" s="39" t="n">
        <f aca="false"> 385000.56 + (-20905355*COS(P103) - 3699111*COS(2*R103-P103) - 2955968*COS(2*R103) - 569925*COS(2*P103) + (1-0.002516*L103)*48888*COS(Q103) - 3149*COS(2*S103)  +246158*COS(2*R103-2*P103) -(1 - 0.002516*L103)*152138*COS(2*R103-Q103-P103) -170733*COS(2*R103+P103) -(1 - 0.002516*L103)*204586*COS(2*R103-Q103) -(1 - 0.002516*L103)*129620*COS(Q103-P103)  + 108743*COS(R103) +(1-0.002516*L103)*104755*COS(Q103+P103) +10321*COS(2*R103-2*S103) +79661*COS(P103-2*S103) -34782*COS(4*R103-P103) -23210*COS(3*P103)  -21636*COS(4*R103-2*P103) +(1 - 0.002516*L103)*24208*COS(2*R103+Q103-P103) +(1 - 0.002516*L103)*30824*COS(2*R103+Q103) -8379*COS(R103-P103) -(1 - 0.002516*L103)*16675*COS(R103+Q103)  -(1 - 0.002516*L103)*12831*COS(2*R103-Q103+P103) -10445*COS(2*R103+2*P103) -11650*COS(4*R103) +14403*COS(2*R103-3*P103) -(1-0.002516*L103)*7003*COS(Q103-2*P103)  + (1 - 0.002516*L103)*10056*COS(2*R103-Q103-2*P103) +6322*COS(R103+P103) -(1 - 0.002516*L103)*(1-0.002516*L103)*9884*COS(2*R103-2*Q103) +(1-0.002516*L103)*5751*COS(Q103+2*P103) - (1-0.002516*L103)^2*4950*COS(2*R103-2*Q103-P103)  +4130*COS(2*R103+P103-2*S103) -(1-0.002516*L103)*3958*COS(4*R103-Q103-P103) +3258*COS(3*R103-P103) +(1 - 0.002516*L103)*2616*COS(2*R103+Q103+P103) -(1 - 0.002516*L103)*1897*COS(4*R103-Q103-2*P103)  -(1-0.002516*L103)^2*2117*COS(2*Q103-P103) +(1-0.002516*L103)^2*2354*COS(2*R103+2*Q103-P103) -1423*COS(4*R103+P103) -1117*COS(4*P103) -(1-0.002516*L103)*1571*COS(4*R103-Q103)  -1739*COS(R103-2*P103) -4421*COS(2*P103-2*S103) +(1-0.002516*L103)^2*1165*COS(2*Q103+P103) +8752*COS(2*R103-P103-2*S103))/1000</f>
        <v>393690.036152495</v>
      </c>
      <c r="AV103" s="54" t="n">
        <f aca="false">ATAN(0.99664719*TAN($A$10*input!$E$2))</f>
        <v>0.871010436227447</v>
      </c>
      <c r="AW103" s="54" t="n">
        <f aca="false">COS(AV103)</f>
        <v>0.644053912545845</v>
      </c>
      <c r="AX103" s="54" t="n">
        <f aca="false">0.99664719*SIN(AV103)</f>
        <v>0.762415269897027</v>
      </c>
      <c r="AY103" s="54" t="n">
        <f aca="false">6378.14/AU103</f>
        <v>0.0162009180174665</v>
      </c>
      <c r="AZ103" s="55" t="n">
        <f aca="false">M103-15*AH103</f>
        <v>68.4913227289468</v>
      </c>
      <c r="BA103" s="56" t="n">
        <f aca="false">COS($A$10*AG103)*SIN($A$10*AZ103)</f>
        <v>0.880097763084213</v>
      </c>
      <c r="BB103" s="56" t="n">
        <f aca="false">COS($A$10*AG103)*COS($A$10*AZ103)-AW103*AY103</f>
        <v>0.336399442830208</v>
      </c>
      <c r="BC103" s="56" t="n">
        <f aca="false">SIN($A$10*AG103)-AX103*AY103</f>
        <v>0.311892381268992</v>
      </c>
      <c r="BD103" s="57" t="n">
        <f aca="false">SQRT(BA103^2+BB103^2+BC103^2)</f>
        <v>0.992478470908035</v>
      </c>
      <c r="BE103" s="58" t="n">
        <f aca="false">AU103*BD103</f>
        <v>390728.885092357</v>
      </c>
    </row>
    <row r="104" customFormat="false" ht="15" hidden="false" customHeight="false" outlineLevel="0" collapsed="false">
      <c r="D104" s="41" t="n">
        <f aca="false">K104-INT(275*E104/9)+IF($A$8="common year",2,1)*INT((E104+9)/12)+30</f>
        <v>13</v>
      </c>
      <c r="E104" s="41" t="n">
        <f aca="false">IF(K104&lt;32,1,INT(9*(IF($A$8="common year",2,1)+K104)/275+0.98))</f>
        <v>4</v>
      </c>
      <c r="F104" s="42" t="n">
        <f aca="false">AM104</f>
        <v>31.0185979721293</v>
      </c>
      <c r="G104" s="60" t="n">
        <f aca="false">F104+1.02/(TAN($A$10*(F104+10.3/(F104+5.11)))*60)</f>
        <v>31.0465540033748</v>
      </c>
      <c r="H104" s="43" t="n">
        <f aca="false">100*(1+COS($A$10*AQ104))/2</f>
        <v>83.5244044332795</v>
      </c>
      <c r="I104" s="43" t="n">
        <f aca="false">IF(AI104&gt;180,AT104-180,AT104+180)</f>
        <v>253.333575678502</v>
      </c>
      <c r="J104" s="61" t="n">
        <f aca="false">$J$2+K103</f>
        <v>2459682.5</v>
      </c>
      <c r="K104" s="21" t="n">
        <v>103</v>
      </c>
      <c r="L104" s="62" t="n">
        <f aca="false">(J104-2451545)/36525</f>
        <v>0.222792607802875</v>
      </c>
      <c r="M104" s="63" t="n">
        <f aca="false">MOD(280.46061837+360.98564736629*(J104-2451545)+0.000387933*L104^2-L104^3/38710000+$B$7,360)</f>
        <v>216.16608081013</v>
      </c>
      <c r="N104" s="30" t="n">
        <f aca="false">0.606433+1336.855225*L104 - INT(0.606433+1336.855225*L104)</f>
        <v>0.447894832648842</v>
      </c>
      <c r="O104" s="35" t="n">
        <f aca="false">22640*SIN(P104)-4586*SIN(P104-2*R104)+2370*SIN(2*R104)+769*SIN(2*P104)-668*SIN(Q104)-412*SIN(2*S104)-212*SIN(2*P104-2*R104)-206*SIN(P104+Q104-2*R104)+192*SIN(P104+2*R104)-165*SIN(Q104-2*R104)-125*SIN(R104)-110*SIN(P104+Q104)+148*SIN(P104-Q104)-55*SIN(2*S104-2*R104)</f>
        <v>-21508.4946095649</v>
      </c>
      <c r="P104" s="32" t="n">
        <f aca="false">2*PI()*(0.374897+1325.55241*L104 - INT(0.374897+1325.55241*L104))</f>
        <v>4.38676417912005</v>
      </c>
      <c r="Q104" s="36" t="n">
        <f aca="false">2*PI()*(0.993133+99.997361*L104 - INT(0.993133+99.997361*L104))</f>
        <v>1.70780640120328</v>
      </c>
      <c r="R104" s="36" t="n">
        <f aca="false">2*PI()*(0.827361+1236.853086*L104 - INT(0.827361+1236.853086*L104))</f>
        <v>2.44469629038578</v>
      </c>
      <c r="S104" s="36" t="n">
        <f aca="false">2*PI()*(0.259086+1342.227825*L104 - INT(0.259086+1342.227825*L104))</f>
        <v>1.86939463864992</v>
      </c>
      <c r="T104" s="36" t="n">
        <f aca="false">S104+(O104+412*SIN(2*S104)+541*SIN(Q104))/206264.8062</f>
        <v>1.76659356776383</v>
      </c>
      <c r="U104" s="36" t="n">
        <f aca="false">S104-2*R104</f>
        <v>-3.01999794212163</v>
      </c>
      <c r="V104" s="34" t="n">
        <f aca="false">-526*SIN(U104)+44*SIN(P104+U104)-31*SIN(-P104+U104)-23*SIN(Q104+U104)+11*SIN(-Q104+U104)-25*SIN(-2*P104+S104)+21*SIN(-P104+S104)</f>
        <v>170.345173137451</v>
      </c>
      <c r="W104" s="36" t="n">
        <f aca="false">2*PI()*(N104+O104/1296000-INT(N104+O104/1296000))</f>
        <v>2.70993010719299</v>
      </c>
      <c r="X104" s="35" t="n">
        <f aca="false">W104*180/PI()</f>
        <v>155.267557917593</v>
      </c>
      <c r="Y104" s="36" t="n">
        <f aca="false">(18520*SIN(T104)+V104)/206264.8062</f>
        <v>0.0888977699745275</v>
      </c>
      <c r="Z104" s="36" t="n">
        <f aca="false">Y104*180/PI()</f>
        <v>5.09346702766524</v>
      </c>
      <c r="AA104" s="36" t="n">
        <f aca="false">COS(Y104)*COS(W104)</f>
        <v>-0.904684839820686</v>
      </c>
      <c r="AB104" s="36" t="n">
        <f aca="false">COS(Y104)*SIN(W104)</f>
        <v>0.416729316609789</v>
      </c>
      <c r="AC104" s="36" t="n">
        <f aca="false">SIN(Y104)</f>
        <v>0.088780725816801</v>
      </c>
      <c r="AD104" s="36" t="n">
        <f aca="false">COS($A$10*(23.4393-46.815*L104/3600))*AB104-SIN($A$10*(23.4393-46.815*L104/3600))*AC104</f>
        <v>0.347039190308574</v>
      </c>
      <c r="AE104" s="36" t="n">
        <f aca="false">SIN($A$10*(23.4393-46.815*L104/3600))*AB104+COS($A$10*(23.4393-46.815*L104/3600))*AC104</f>
        <v>0.247202631435406</v>
      </c>
      <c r="AF104" s="36" t="n">
        <f aca="false">SQRT(1-AE104*AE104)</f>
        <v>0.968963806863502</v>
      </c>
      <c r="AG104" s="35" t="n">
        <f aca="false">ATAN(AE104/AF104)/$A$10</f>
        <v>14.3120398513939</v>
      </c>
      <c r="AH104" s="36" t="n">
        <f aca="false">IF(24*ATAN(AD104/(AA104+AF104))/PI()&gt;0,24*ATAN(AD104/(AA104+AF104))/PI(),24*ATAN(AD104/(AA104+AF104))/PI()+24)</f>
        <v>10.6008714161448</v>
      </c>
      <c r="AI104" s="63" t="n">
        <f aca="false">IF(M104-15*AH104&gt;0,M104-15*AH104,360+M104-15*AH104)</f>
        <v>57.1530095679576</v>
      </c>
      <c r="AJ104" s="32" t="n">
        <f aca="false">0.950724+0.051818*COS(P104)+0.009531*COS(2*R104-P104)+0.007843*COS(2*R104)+0.002824*COS(2*P104)+0.000857*COS(2*R104+P104)+0.000533*COS(2*R104-Q104)*(1-0.002495*(J104-2415020)/36525)+0.000401*COS(2*R104-Q104-P104)*(1-0.002495*(J104-2415020)/36525)+0.00032*COS(P104-Q104)*(1-0.002495*(J104-2415020)/36525)-0.000271*COS(R104)</f>
        <v>0.940321332622393</v>
      </c>
      <c r="AK104" s="36" t="n">
        <f aca="false">ASIN(COS($A$10*$B$5)*COS($A$10*AG104)*COS($A$10*AI104)+SIN($A$10*$B$5)*SIN($A$10*AG104))/$A$10</f>
        <v>31.8160519924839</v>
      </c>
      <c r="AL104" s="32" t="n">
        <f aca="false">ASIN((0.9983271+0.0016764*COS($A$10*2*$B$5))*COS($A$10*AK104)*SIN($A$10*AJ104))/$A$10</f>
        <v>0.797454020354562</v>
      </c>
      <c r="AM104" s="32" t="n">
        <f aca="false">AK104-AL104</f>
        <v>31.0185979721293</v>
      </c>
      <c r="AN104" s="35" t="n">
        <f aca="false"> MOD(280.4664567 + 360007.6982779*L104/10 + 0.03032028*L104^2/100 + L104^3/49931000,360)</f>
        <v>21.1718645945457</v>
      </c>
      <c r="AO104" s="32" t="n">
        <f aca="false"> AN104 + (1.9146 - 0.004817*L104 - 0.000014*L104^2)*SIN(Q104)+ (0.019993 - 0.000101*L104)*SIN(2*Q104)+ 0.00029*SIN(3*Q104)</f>
        <v>23.0617887204867</v>
      </c>
      <c r="AP104" s="32" t="n">
        <f aca="false">ACOS(COS(W104-$A$10*AO104)*COS(Y104))/$A$10</f>
        <v>132.000908541946</v>
      </c>
      <c r="AQ104" s="34" t="n">
        <f aca="false">180 - AP104 -0.1468*(1-0.0549*SIN(Q104))*SIN($A$10*AP104)/(1-0.0167*SIN($A$10*AO104))</f>
        <v>47.8952530980013</v>
      </c>
      <c r="AR104" s="64" t="n">
        <f aca="false">SIN($A$10*AI104)</f>
        <v>0.840122045496027</v>
      </c>
      <c r="AS104" s="64" t="n">
        <f aca="false">COS($A$10*AI104)*SIN($A$10*$B$5) - TAN($A$10*AG104)*COS($A$10*$B$5)</f>
        <v>0.251512157612742</v>
      </c>
      <c r="AT104" s="24" t="n">
        <f aca="false">IF(OR(AND(AR104*AS104&gt;0), AND(AR104&lt;0,AS104&gt;0)), MOD(ATAN2(AS104,AR104)/$A$10+360,360),  ATAN2(AS104,AR104)/$A$10)</f>
        <v>73.333575678502</v>
      </c>
      <c r="AU104" s="39" t="n">
        <f aca="false"> 385000.56 + (-20905355*COS(P104) - 3699111*COS(2*R104-P104) - 2955968*COS(2*R104) - 569925*COS(2*P104) + (1-0.002516*L104)*48888*COS(Q104) - 3149*COS(2*S104)  +246158*COS(2*R104-2*P104) -(1 - 0.002516*L104)*152138*COS(2*R104-Q104-P104) -170733*COS(2*R104+P104) -(1 - 0.002516*L104)*204586*COS(2*R104-Q104) -(1 - 0.002516*L104)*129620*COS(Q104-P104)  + 108743*COS(R104) +(1-0.002516*L104)*104755*COS(Q104+P104) +10321*COS(2*R104-2*S104) +79661*COS(P104-2*S104) -34782*COS(4*R104-P104) -23210*COS(3*P104)  -21636*COS(4*R104-2*P104) +(1 - 0.002516*L104)*24208*COS(2*R104+Q104-P104) +(1 - 0.002516*L104)*30824*COS(2*R104+Q104) -8379*COS(R104-P104) -(1 - 0.002516*L104)*16675*COS(R104+Q104)  -(1 - 0.002516*L104)*12831*COS(2*R104-Q104+P104) -10445*COS(2*R104+2*P104) -11650*COS(4*R104) +14403*COS(2*R104-3*P104) -(1-0.002516*L104)*7003*COS(Q104-2*P104)  + (1 - 0.002516*L104)*10056*COS(2*R104-Q104-2*P104) +6322*COS(R104+P104) -(1 - 0.002516*L104)*(1-0.002516*L104)*9884*COS(2*R104-2*Q104) +(1-0.002516*L104)*5751*COS(Q104+2*P104) - (1-0.002516*L104)^2*4950*COS(2*R104-2*Q104-P104)  +4130*COS(2*R104+P104-2*S104) -(1-0.002516*L104)*3958*COS(4*R104-Q104-P104) +3258*COS(3*R104-P104) +(1 - 0.002516*L104)*2616*COS(2*R104+Q104+P104) -(1 - 0.002516*L104)*1897*COS(4*R104-Q104-2*P104)  -(1-0.002516*L104)^2*2117*COS(2*Q104-P104) +(1-0.002516*L104)^2*2354*COS(2*R104+2*Q104-P104) -1423*COS(4*R104+P104) -1117*COS(4*P104) -(1-0.002516*L104)*1571*COS(4*R104-Q104)  -1739*COS(R104-2*P104) -4421*COS(2*P104-2*S104) +(1-0.002516*L104)^2*1165*COS(2*Q104+P104) +8752*COS(2*R104-P104-2*S104))/1000</f>
        <v>388683.006366079</v>
      </c>
      <c r="AV104" s="54" t="n">
        <f aca="false">ATAN(0.99664719*TAN($A$10*input!$E$2))</f>
        <v>0.871010436227447</v>
      </c>
      <c r="AW104" s="54" t="n">
        <f aca="false">COS(AV104)</f>
        <v>0.644053912545845</v>
      </c>
      <c r="AX104" s="54" t="n">
        <f aca="false">0.99664719*SIN(AV104)</f>
        <v>0.762415269897027</v>
      </c>
      <c r="AY104" s="54" t="n">
        <f aca="false">6378.14/AU104</f>
        <v>0.0164096188810292</v>
      </c>
      <c r="AZ104" s="55" t="n">
        <f aca="false">M104-15*AH104</f>
        <v>57.1530095679576</v>
      </c>
      <c r="BA104" s="56" t="n">
        <f aca="false">COS($A$10*AG104)*SIN($A$10*AZ104)</f>
        <v>0.814047855433782</v>
      </c>
      <c r="BB104" s="56" t="n">
        <f aca="false">COS($A$10*AG104)*COS($A$10*AZ104)-AW104*AY104</f>
        <v>0.514994778461511</v>
      </c>
      <c r="BC104" s="56" t="n">
        <f aca="false">SIN($A$10*AG104)-AX104*AY104</f>
        <v>0.234691687427319</v>
      </c>
      <c r="BD104" s="57" t="n">
        <f aca="false">SQRT(BA104^2+BB104^2+BC104^2)</f>
        <v>0.991450311879745</v>
      </c>
      <c r="BE104" s="58" t="n">
        <f aca="false">AU104*BD104</f>
        <v>385359.887884006</v>
      </c>
    </row>
    <row r="105" customFormat="false" ht="15" hidden="false" customHeight="false" outlineLevel="0" collapsed="false">
      <c r="D105" s="41" t="n">
        <f aca="false">K105-INT(275*E105/9)+IF($A$8="common year",2,1)*INT((E105+9)/12)+30</f>
        <v>14</v>
      </c>
      <c r="E105" s="41" t="n">
        <f aca="false">IF(K105&lt;32,1,INT(9*(IF($A$8="common year",2,1)+K105)/275+0.98))</f>
        <v>4</v>
      </c>
      <c r="F105" s="42" t="n">
        <f aca="false">AM105</f>
        <v>33.2736221549526</v>
      </c>
      <c r="G105" s="60" t="n">
        <f aca="false">F105+1.02/(TAN($A$10*(F105+10.3/(F105+5.11)))*60)</f>
        <v>33.2992655248532</v>
      </c>
      <c r="H105" s="43" t="n">
        <f aca="false">100*(1+COS($A$10*AQ105))/2</f>
        <v>90.5124027620064</v>
      </c>
      <c r="I105" s="43" t="n">
        <f aca="false">IF(AI105&gt;180,AT105-180,AT105+180)</f>
        <v>239.073579104178</v>
      </c>
      <c r="J105" s="61" t="n">
        <f aca="false">$J$2+K104</f>
        <v>2459683.5</v>
      </c>
      <c r="K105" s="21" t="n">
        <v>104</v>
      </c>
      <c r="L105" s="62" t="n">
        <f aca="false">(J105-2451545)/36525</f>
        <v>0.222819986310746</v>
      </c>
      <c r="M105" s="63" t="n">
        <f aca="false">MOD(280.46061837+360.98564736629*(J105-2451545)+0.000387933*L105^2-L105^3/38710000+$B$7,360)</f>
        <v>217.151728181168</v>
      </c>
      <c r="N105" s="30" t="n">
        <f aca="false">0.606433+1336.855225*L105 - INT(0.606433+1336.855225*L105)</f>
        <v>0.484495933949347</v>
      </c>
      <c r="O105" s="35" t="n">
        <f aca="false">22640*SIN(P105)-4586*SIN(P105-2*R105)+2370*SIN(2*R105)+769*SIN(2*P105)-668*SIN(Q105)-412*SIN(2*S105)-212*SIN(2*P105-2*R105)-206*SIN(P105+Q105-2*R105)+192*SIN(P105+2*R105)-165*SIN(Q105-2*R105)-125*SIN(R105)-110*SIN(P105+Q105)+148*SIN(P105-Q105)-55*SIN(2*S105-2*R105)</f>
        <v>-21852.3147988743</v>
      </c>
      <c r="P105" s="32" t="n">
        <f aca="false">2*PI()*(0.374897+1325.55241*L105 - INT(0.374897+1325.55241*L105))</f>
        <v>4.61479132289551</v>
      </c>
      <c r="Q105" s="36" t="n">
        <f aca="false">2*PI()*(0.993133+99.997361*L105 - INT(0.993133+99.997361*L105))</f>
        <v>1.72500837107027</v>
      </c>
      <c r="R105" s="36" t="n">
        <f aca="false">2*PI()*(0.827361+1236.853086*L105 - INT(0.827361+1236.853086*L105))</f>
        <v>2.6574650005048</v>
      </c>
      <c r="S105" s="36" t="n">
        <f aca="false">2*PI()*(0.259086+1342.227825*L105 - INT(0.259086+1342.227825*L105))</f>
        <v>2.10029035799092</v>
      </c>
      <c r="T105" s="36" t="n">
        <f aca="false">S105+(O105+412*SIN(2*S105)+541*SIN(Q105))/206264.8062</f>
        <v>1.99519758054978</v>
      </c>
      <c r="U105" s="36" t="n">
        <f aca="false">S105-2*R105</f>
        <v>-3.21463964301868</v>
      </c>
      <c r="V105" s="34" t="n">
        <f aca="false">-526*SIN(U105)+44*SIN(P105+U105)-31*SIN(-P105+U105)-23*SIN(Q105+U105)+11*SIN(-Q105+U105)-25*SIN(-2*P105+S105)+21*SIN(-P105+S105)</f>
        <v>75.9994672758386</v>
      </c>
      <c r="W105" s="36" t="n">
        <f aca="false">2*PI()*(N105+O105/1296000-INT(N105+O105/1296000))</f>
        <v>2.93823472179472</v>
      </c>
      <c r="X105" s="35" t="n">
        <f aca="false">W105*180/PI()</f>
        <v>168.348448777633</v>
      </c>
      <c r="Y105" s="36" t="n">
        <f aca="false">(18520*SIN(T105)+V105)/206264.8062</f>
        <v>0.0821904920374123</v>
      </c>
      <c r="Z105" s="36" t="n">
        <f aca="false">Y105*180/PI()</f>
        <v>4.70916830984732</v>
      </c>
      <c r="AA105" s="36" t="n">
        <f aca="false">COS(Y105)*COS(W105)</f>
        <v>-0.976087758719155</v>
      </c>
      <c r="AB105" s="36" t="n">
        <f aca="false">COS(Y105)*SIN(W105)</f>
        <v>0.201277440014372</v>
      </c>
      <c r="AC105" s="36" t="n">
        <f aca="false">SIN(Y105)</f>
        <v>0.082097986698076</v>
      </c>
      <c r="AD105" s="36" t="n">
        <f aca="false">COS($A$10*(23.4393-46.815*L105/3600))*AB105-SIN($A$10*(23.4393-46.815*L105/3600))*AC105</f>
        <v>0.152019571057867</v>
      </c>
      <c r="AE105" s="36" t="n">
        <f aca="false">SIN($A$10*(23.4393-46.815*L105/3600))*AB105+COS($A$10*(23.4393-46.815*L105/3600))*AC105</f>
        <v>0.155379333548572</v>
      </c>
      <c r="AF105" s="36" t="n">
        <f aca="false">SQRT(1-AE105*AE105)</f>
        <v>0.987854879375509</v>
      </c>
      <c r="AG105" s="35" t="n">
        <f aca="false">ATAN(AE105/AF105)/$A$10</f>
        <v>8.93879701041838</v>
      </c>
      <c r="AH105" s="36" t="n">
        <f aca="false">IF(24*ATAN(AD105/(AA105+AF105))/PI()&gt;0,24*ATAN(AD105/(AA105+AF105))/PI(),24*ATAN(AD105/(AA105+AF105))/PI()+24)</f>
        <v>11.4098438374915</v>
      </c>
      <c r="AI105" s="63" t="n">
        <f aca="false">IF(M105-15*AH105&gt;0,M105-15*AH105,360+M105-15*AH105)</f>
        <v>46.004070618796</v>
      </c>
      <c r="AJ105" s="32" t="n">
        <f aca="false">0.950724+0.051818*COS(P105)+0.009531*COS(2*R105-P105)+0.007843*COS(2*R105)+0.002824*COS(2*P105)+0.000857*COS(2*R105+P105)+0.000533*COS(2*R105-Q105)*(1-0.002495*(J105-2415020)/36525)+0.000401*COS(2*R105-Q105-P105)*(1-0.002495*(J105-2415020)/36525)+0.00032*COS(P105-Q105)*(1-0.002495*(J105-2415020)/36525)-0.000271*COS(R105)</f>
        <v>0.95354767688862</v>
      </c>
      <c r="AK105" s="36" t="n">
        <f aca="false">ASIN(COS($A$10*$B$5)*COS($A$10*AG105)*COS($A$10*AI105)+SIN($A$10*$B$5)*SIN($A$10*AG105))/$A$10</f>
        <v>34.0620084888285</v>
      </c>
      <c r="AL105" s="32" t="n">
        <f aca="false">ASIN((0.9983271+0.0016764*COS($A$10*2*$B$5))*COS($A$10*AK105)*SIN($A$10*AJ105))/$A$10</f>
        <v>0.78838633387584</v>
      </c>
      <c r="AM105" s="32" t="n">
        <f aca="false">AK105-AL105</f>
        <v>33.2736221549526</v>
      </c>
      <c r="AN105" s="35" t="n">
        <f aca="false"> MOD(280.4664567 + 360007.6982779*L105/10 + 0.03032028*L105^2/100 + L105^3/49931000,360)</f>
        <v>22.1575119583486</v>
      </c>
      <c r="AO105" s="32" t="n">
        <f aca="false"> AN105 + (1.9146 - 0.004817*L105 - 0.000014*L105^2)*SIN(Q105)+ (0.019993 - 0.000101*L105)*SIN(2*Q105)+ 0.00029*SIN(3*Q105)</f>
        <v>24.0420081675623</v>
      </c>
      <c r="AP105" s="32" t="n">
        <f aca="false">ACOS(COS(W105-$A$10*AO105)*COS(Y105))/$A$10</f>
        <v>144.038084389479</v>
      </c>
      <c r="AQ105" s="34" t="n">
        <f aca="false">180 - AP105 -0.1468*(1-0.0549*SIN(Q105))*SIN($A$10*AP105)/(1-0.0167*SIN($A$10*AO105))</f>
        <v>35.8798258330342</v>
      </c>
      <c r="AR105" s="64" t="n">
        <f aca="false">SIN($A$10*AI105)</f>
        <v>0.719389151013774</v>
      </c>
      <c r="AS105" s="64" t="n">
        <f aca="false">COS($A$10*AI105)*SIN($A$10*$B$5) - TAN($A$10*AG105)*COS($A$10*$B$5)</f>
        <v>0.43099620514556</v>
      </c>
      <c r="AT105" s="24" t="n">
        <f aca="false">IF(OR(AND(AR105*AS105&gt;0), AND(AR105&lt;0,AS105&gt;0)), MOD(ATAN2(AS105,AR105)/$A$10+360,360),  ATAN2(AS105,AR105)/$A$10)</f>
        <v>59.0735791041776</v>
      </c>
      <c r="AU105" s="39" t="n">
        <f aca="false"> 385000.56 + (-20905355*COS(P105) - 3699111*COS(2*R105-P105) - 2955968*COS(2*R105) - 569925*COS(2*P105) + (1-0.002516*L105)*48888*COS(Q105) - 3149*COS(2*S105)  +246158*COS(2*R105-2*P105) -(1 - 0.002516*L105)*152138*COS(2*R105-Q105-P105) -170733*COS(2*R105+P105) -(1 - 0.002516*L105)*204586*COS(2*R105-Q105) -(1 - 0.002516*L105)*129620*COS(Q105-P105)  + 108743*COS(R105) +(1-0.002516*L105)*104755*COS(Q105+P105) +10321*COS(2*R105-2*S105) +79661*COS(P105-2*S105) -34782*COS(4*R105-P105) -23210*COS(3*P105)  -21636*COS(4*R105-2*P105) +(1 - 0.002516*L105)*24208*COS(2*R105+Q105-P105) +(1 - 0.002516*L105)*30824*COS(2*R105+Q105) -8379*COS(R105-P105) -(1 - 0.002516*L105)*16675*COS(R105+Q105)  -(1 - 0.002516*L105)*12831*COS(2*R105-Q105+P105) -10445*COS(2*R105+2*P105) -11650*COS(4*R105) +14403*COS(2*R105-3*P105) -(1-0.002516*L105)*7003*COS(Q105-2*P105)  + (1 - 0.002516*L105)*10056*COS(2*R105-Q105-2*P105) +6322*COS(R105+P105) -(1 - 0.002516*L105)*(1-0.002516*L105)*9884*COS(2*R105-2*Q105) +(1-0.002516*L105)*5751*COS(Q105+2*P105) - (1-0.002516*L105)^2*4950*COS(2*R105-2*Q105-P105)  +4130*COS(2*R105+P105-2*S105) -(1-0.002516*L105)*3958*COS(4*R105-Q105-P105) +3258*COS(3*R105-P105) +(1 - 0.002516*L105)*2616*COS(2*R105+Q105+P105) -(1 - 0.002516*L105)*1897*COS(4*R105-Q105-2*P105)  -(1-0.002516*L105)^2*2117*COS(2*Q105-P105) +(1-0.002516*L105)^2*2354*COS(2*R105+2*Q105-P105) -1423*COS(4*R105+P105) -1117*COS(4*P105) -(1-0.002516*L105)*1571*COS(4*R105-Q105)  -1739*COS(R105-2*P105) -4421*COS(2*P105-2*S105) +(1-0.002516*L105)^2*1165*COS(2*Q105+P105) +8752*COS(2*R105-P105-2*S105))/1000</f>
        <v>383354.984221555</v>
      </c>
      <c r="AV105" s="54" t="n">
        <f aca="false">ATAN(0.99664719*TAN($A$10*input!$E$2))</f>
        <v>0.871010436227447</v>
      </c>
      <c r="AW105" s="54" t="n">
        <f aca="false">COS(AV105)</f>
        <v>0.644053912545845</v>
      </c>
      <c r="AX105" s="54" t="n">
        <f aca="false">0.99664719*SIN(AV105)</f>
        <v>0.762415269897027</v>
      </c>
      <c r="AY105" s="54" t="n">
        <f aca="false">6378.14/AU105</f>
        <v>0.0166376863808137</v>
      </c>
      <c r="AZ105" s="55" t="n">
        <f aca="false">M105-15*AH105</f>
        <v>46.004070618796</v>
      </c>
      <c r="BA105" s="56" t="n">
        <f aca="false">COS($A$10*AG105)*SIN($A$10*AZ105)</f>
        <v>0.710652082998762</v>
      </c>
      <c r="BB105" s="56" t="n">
        <f aca="false">COS($A$10*AG105)*COS($A$10*AZ105)-AW105*AY105</f>
        <v>0.675455606704343</v>
      </c>
      <c r="BC105" s="56" t="n">
        <f aca="false">SIN($A$10*AG105)-AX105*AY105</f>
        <v>0.142694507396082</v>
      </c>
      <c r="BD105" s="57" t="n">
        <f aca="false">SQRT(BA105^2+BB105^2+BC105^2)</f>
        <v>0.990771609474061</v>
      </c>
      <c r="BE105" s="58" t="n">
        <f aca="false">AU105*BD105</f>
        <v>379817.234717094</v>
      </c>
    </row>
    <row r="106" customFormat="false" ht="15" hidden="false" customHeight="false" outlineLevel="0" collapsed="false">
      <c r="D106" s="41" t="n">
        <f aca="false">K106-INT(275*E106/9)+IF($A$8="common year",2,1)*INT((E106+9)/12)+30</f>
        <v>15</v>
      </c>
      <c r="E106" s="41" t="n">
        <f aca="false">IF(K106&lt;32,1,INT(9*(IF($A$8="common year",2,1)+K106)/275+0.98))</f>
        <v>4</v>
      </c>
      <c r="F106" s="42" t="n">
        <f aca="false">AM106</f>
        <v>33.7343913660601</v>
      </c>
      <c r="G106" s="60" t="n">
        <f aca="false">F106+1.02/(TAN($A$10*(F106+10.3/(F106+5.11)))*60)</f>
        <v>33.7595953277038</v>
      </c>
      <c r="H106" s="43" t="n">
        <f aca="false">100*(1+COS($A$10*AQ106))/2</f>
        <v>95.8552132772849</v>
      </c>
      <c r="I106" s="43" t="n">
        <f aca="false">IF(AI106&gt;180,AT106-180,AT106+180)</f>
        <v>223.865458608271</v>
      </c>
      <c r="J106" s="61" t="n">
        <f aca="false">$J$2+K105</f>
        <v>2459684.5</v>
      </c>
      <c r="K106" s="21" t="n">
        <v>105</v>
      </c>
      <c r="L106" s="62" t="n">
        <f aca="false">(J106-2451545)/36525</f>
        <v>0.222847364818617</v>
      </c>
      <c r="M106" s="63" t="n">
        <f aca="false">MOD(280.46061837+360.98564736629*(J106-2451545)+0.000387933*L106^2-L106^3/38710000+$B$7,360)</f>
        <v>218.137375552207</v>
      </c>
      <c r="N106" s="30" t="n">
        <f aca="false">0.606433+1336.855225*L106 - INT(0.606433+1336.855225*L106)</f>
        <v>0.521097035249795</v>
      </c>
      <c r="O106" s="35" t="n">
        <f aca="false">22640*SIN(P106)-4586*SIN(P106-2*R106)+2370*SIN(2*R106)+769*SIN(2*P106)-668*SIN(Q106)-412*SIN(2*S106)-212*SIN(2*P106-2*R106)-206*SIN(P106+Q106-2*R106)+192*SIN(P106+2*R106)-165*SIN(Q106-2*R106)-125*SIN(R106)-110*SIN(P106+Q106)+148*SIN(P106-Q106)-55*SIN(2*S106-2*R106)</f>
        <v>-20844.849658733</v>
      </c>
      <c r="P106" s="32" t="n">
        <f aca="false">2*PI()*(0.374897+1325.55241*L106 - INT(0.374897+1325.55241*L106))</f>
        <v>4.84281846667133</v>
      </c>
      <c r="Q106" s="36" t="n">
        <f aca="false">2*PI()*(0.993133+99.997361*L106 - INT(0.993133+99.997361*L106))</f>
        <v>1.74221034093727</v>
      </c>
      <c r="R106" s="36" t="n">
        <f aca="false">2*PI()*(0.827361+1236.853086*L106 - INT(0.827361+1236.853086*L106))</f>
        <v>2.87023371062382</v>
      </c>
      <c r="S106" s="36" t="n">
        <f aca="false">2*PI()*(0.259086+1342.227825*L106 - INT(0.259086+1342.227825*L106))</f>
        <v>2.33118607733157</v>
      </c>
      <c r="T106" s="36" t="n">
        <f aca="false">S106+(O106+412*SIN(2*S106)+541*SIN(Q106))/206264.8062</f>
        <v>2.23071686303962</v>
      </c>
      <c r="U106" s="36" t="n">
        <f aca="false">S106-2*R106</f>
        <v>-3.40928134391608</v>
      </c>
      <c r="V106" s="34" t="n">
        <f aca="false">-526*SIN(U106)+44*SIN(P106+U106)-31*SIN(-P106+U106)-23*SIN(Q106+U106)+11*SIN(-Q106+U106)-25*SIN(-2*P106+S106)+21*SIN(-P106+S106)</f>
        <v>-24.5431533831346</v>
      </c>
      <c r="W106" s="36" t="n">
        <f aca="false">2*PI()*(N106+O106/1296000-INT(N106+O106/1296000))</f>
        <v>3.1730905525441</v>
      </c>
      <c r="X106" s="35" t="n">
        <f aca="false">W106*180/PI()</f>
        <v>181.804696673612</v>
      </c>
      <c r="Y106" s="36" t="n">
        <f aca="false">(18520*SIN(T106)+V106)/206264.8062</f>
        <v>0.07081680826588</v>
      </c>
      <c r="Z106" s="36" t="n">
        <f aca="false">Y106*180/PI()</f>
        <v>4.05750423222209</v>
      </c>
      <c r="AA106" s="36" t="n">
        <f aca="false">COS(Y106)*COS(W106)</f>
        <v>-0.996998763034649</v>
      </c>
      <c r="AB106" s="36" t="n">
        <f aca="false">COS(Y106)*SIN(W106)</f>
        <v>-0.0314137556965312</v>
      </c>
      <c r="AC106" s="36" t="n">
        <f aca="false">SIN(Y106)</f>
        <v>0.0707576318174889</v>
      </c>
      <c r="AD106" s="36" t="n">
        <f aca="false">COS($A$10*(23.4393-46.815*L106/3600))*AB106-SIN($A$10*(23.4393-46.815*L106/3600))*AC106</f>
        <v>-0.0569646834643078</v>
      </c>
      <c r="AE106" s="36" t="n">
        <f aca="false">SIN($A$10*(23.4393-46.815*L106/3600))*AB106+COS($A$10*(23.4393-46.815*L106/3600))*AC106</f>
        <v>0.0524260559759351</v>
      </c>
      <c r="AF106" s="36" t="n">
        <f aca="false">SQRT(1-AE106*AE106)</f>
        <v>0.99862480875192</v>
      </c>
      <c r="AG106" s="35" t="n">
        <f aca="false">ATAN(AE106/AF106)/$A$10</f>
        <v>3.00516943117328</v>
      </c>
      <c r="AH106" s="36" t="n">
        <f aca="false">IF(24*ATAN(AD106/(AA106+AF106))/PI()&gt;0,24*ATAN(AD106/(AA106+AF106))/PI(),24*ATAN(AD106/(AA106+AF106))/PI()+24)</f>
        <v>12.218007040264</v>
      </c>
      <c r="AI106" s="63" t="n">
        <f aca="false">IF(M106-15*AH106&gt;0,M106-15*AH106,360+M106-15*AH106)</f>
        <v>34.867269948248</v>
      </c>
      <c r="AJ106" s="32" t="n">
        <f aca="false">0.950724+0.051818*COS(P106)+0.009531*COS(2*R106-P106)+0.007843*COS(2*R106)+0.002824*COS(2*P106)+0.000857*COS(2*R106+P106)+0.000533*COS(2*R106-Q106)*(1-0.002495*(J106-2415020)/36525)+0.000401*COS(2*R106-Q106-P106)*(1-0.002495*(J106-2415020)/36525)+0.00032*COS(P106-Q106)*(1-0.002495*(J106-2415020)/36525)-0.000271*COS(R106)</f>
        <v>0.96690948132114</v>
      </c>
      <c r="AK106" s="36" t="n">
        <f aca="false">ASIN(COS($A$10*$B$5)*COS($A$10*AG106)*COS($A$10*AI106)+SIN($A$10*$B$5)*SIN($A$10*AG106))/$A$10</f>
        <v>34.5293890697478</v>
      </c>
      <c r="AL106" s="32" t="n">
        <f aca="false">ASIN((0.9983271+0.0016764*COS($A$10*2*$B$5))*COS($A$10*AK106)*SIN($A$10*AJ106))/$A$10</f>
        <v>0.794997703687754</v>
      </c>
      <c r="AM106" s="32" t="n">
        <f aca="false">AK106-AL106</f>
        <v>33.7343913660601</v>
      </c>
      <c r="AN106" s="35" t="n">
        <f aca="false"> MOD(280.4664567 + 360007.6982779*L106/10 + 0.03032028*L106^2/100 + L106^3/49931000,360)</f>
        <v>23.1431593221514</v>
      </c>
      <c r="AO106" s="32" t="n">
        <f aca="false"> AN106 + (1.9146 - 0.004817*L106 - 0.000014*L106^2)*SIN(Q106)+ (0.019993 - 0.000101*L106)*SIN(2*Q106)+ 0.00029*SIN(3*Q106)</f>
        <v>25.0216759872766</v>
      </c>
      <c r="AP106" s="32" t="n">
        <f aca="false">ACOS(COS(W106-$A$10*AO106)*COS(Y106))/$A$10</f>
        <v>156.4504760554</v>
      </c>
      <c r="AQ106" s="34" t="n">
        <f aca="false">180 - AP106 -0.1468*(1-0.0549*SIN(Q106))*SIN($A$10*AP106)/(1-0.0167*SIN($A$10*AO106))</f>
        <v>23.4936494152592</v>
      </c>
      <c r="AR106" s="64" t="n">
        <f aca="false">SIN($A$10*AI106)</f>
        <v>0.571677270682779</v>
      </c>
      <c r="AS106" s="64" t="n">
        <f aca="false">COS($A$10*AI106)*SIN($A$10*$B$5) - TAN($A$10*AG106)*COS($A$10*$B$5)</f>
        <v>0.594777830603603</v>
      </c>
      <c r="AT106" s="24" t="n">
        <f aca="false">IF(OR(AND(AR106*AS106&gt;0), AND(AR106&lt;0,AS106&gt;0)), MOD(ATAN2(AS106,AR106)/$A$10+360,360),  ATAN2(AS106,AR106)/$A$10)</f>
        <v>43.8654586082708</v>
      </c>
      <c r="AU106" s="39" t="n">
        <f aca="false"> 385000.56 + (-20905355*COS(P106) - 3699111*COS(2*R106-P106) - 2955968*COS(2*R106) - 569925*COS(2*P106) + (1-0.002516*L106)*48888*COS(Q106) - 3149*COS(2*S106)  +246158*COS(2*R106-2*P106) -(1 - 0.002516*L106)*152138*COS(2*R106-Q106-P106) -170733*COS(2*R106+P106) -(1 - 0.002516*L106)*204586*COS(2*R106-Q106) -(1 - 0.002516*L106)*129620*COS(Q106-P106)  + 108743*COS(R106) +(1-0.002516*L106)*104755*COS(Q106+P106) +10321*COS(2*R106-2*S106) +79661*COS(P106-2*S106) -34782*COS(4*R106-P106) -23210*COS(3*P106)  -21636*COS(4*R106-2*P106) +(1 - 0.002516*L106)*24208*COS(2*R106+Q106-P106) +(1 - 0.002516*L106)*30824*COS(2*R106+Q106) -8379*COS(R106-P106) -(1 - 0.002516*L106)*16675*COS(R106+Q106)  -(1 - 0.002516*L106)*12831*COS(2*R106-Q106+P106) -10445*COS(2*R106+2*P106) -11650*COS(4*R106) +14403*COS(2*R106-3*P106) -(1-0.002516*L106)*7003*COS(Q106-2*P106)  + (1 - 0.002516*L106)*10056*COS(2*R106-Q106-2*P106) +6322*COS(R106+P106) -(1 - 0.002516*L106)*(1-0.002516*L106)*9884*COS(2*R106-2*Q106) +(1-0.002516*L106)*5751*COS(Q106+2*P106) - (1-0.002516*L106)^2*4950*COS(2*R106-2*Q106-P106)  +4130*COS(2*R106+P106-2*S106) -(1-0.002516*L106)*3958*COS(4*R106-Q106-P106) +3258*COS(3*R106-P106) +(1 - 0.002516*L106)*2616*COS(2*R106+Q106+P106) -(1 - 0.002516*L106)*1897*COS(4*R106-Q106-2*P106)  -(1-0.002516*L106)^2*2117*COS(2*Q106-P106) +(1-0.002516*L106)^2*2354*COS(2*R106+2*Q106-P106) -1423*COS(4*R106+P106) -1117*COS(4*P106) -(1-0.002516*L106)*1571*COS(4*R106-Q106)  -1739*COS(R106-2*P106) -4421*COS(2*P106-2*S106) +(1-0.002516*L106)^2*1165*COS(2*Q106+P106) +8752*COS(2*R106-P106-2*S106))/1000</f>
        <v>378118.53351332</v>
      </c>
      <c r="AV106" s="54" t="n">
        <f aca="false">ATAN(0.99664719*TAN($A$10*input!$E$2))</f>
        <v>0.871010436227447</v>
      </c>
      <c r="AW106" s="54" t="n">
        <f aca="false">COS(AV106)</f>
        <v>0.644053912545845</v>
      </c>
      <c r="AX106" s="54" t="n">
        <f aca="false">0.99664719*SIN(AV106)</f>
        <v>0.762415269897027</v>
      </c>
      <c r="AY106" s="54" t="n">
        <f aca="false">6378.14/AU106</f>
        <v>0.0168680967334158</v>
      </c>
      <c r="AZ106" s="55" t="n">
        <f aca="false">M106-15*AH106</f>
        <v>34.867269948248</v>
      </c>
      <c r="BA106" s="56" t="n">
        <f aca="false">COS($A$10*AG106)*SIN($A$10*AZ106)</f>
        <v>0.57089110510341</v>
      </c>
      <c r="BB106" s="56" t="n">
        <f aca="false">COS($A$10*AG106)*COS($A$10*AZ106)-AW106*AY106</f>
        <v>0.808486300089123</v>
      </c>
      <c r="BC106" s="56" t="n">
        <f aca="false">SIN($A$10*AG106)-AX106*AY106</f>
        <v>0.0395655614522787</v>
      </c>
      <c r="BD106" s="57" t="n">
        <f aca="false">SQRT(BA106^2+BB106^2+BC106^2)</f>
        <v>0.990521168360892</v>
      </c>
      <c r="BE106" s="58" t="n">
        <f aca="false">AU106*BD106</f>
        <v>374534.41159452</v>
      </c>
    </row>
    <row r="107" customFormat="false" ht="15" hidden="false" customHeight="false" outlineLevel="0" collapsed="false">
      <c r="D107" s="41" t="n">
        <f aca="false">K107-INT(275*E107/9)+IF($A$8="common year",2,1)*INT((E107+9)/12)+30</f>
        <v>16</v>
      </c>
      <c r="E107" s="41" t="n">
        <f aca="false">IF(K107&lt;32,1,INT(9*(IF($A$8="common year",2,1)+K107)/275+0.98))</f>
        <v>4</v>
      </c>
      <c r="F107" s="42" t="n">
        <f aca="false">AM107</f>
        <v>32.2192607629494</v>
      </c>
      <c r="G107" s="60" t="n">
        <f aca="false">F107+1.02/(TAN($A$10*(F107+10.3/(F107+5.11)))*60)</f>
        <v>32.2459503684114</v>
      </c>
      <c r="H107" s="43" t="n">
        <f aca="false">100*(1+COS($A$10*AQ107))/2</f>
        <v>99.1115943908007</v>
      </c>
      <c r="I107" s="43" t="n">
        <f aca="false">IF(AI107&gt;180,AT107-180,AT107+180)</f>
        <v>208.375904179048</v>
      </c>
      <c r="J107" s="61" t="n">
        <f aca="false">$J$2+K106</f>
        <v>2459685.5</v>
      </c>
      <c r="K107" s="21" t="n">
        <v>106</v>
      </c>
      <c r="L107" s="62" t="n">
        <f aca="false">(J107-2451545)/36525</f>
        <v>0.222874743326489</v>
      </c>
      <c r="M107" s="63" t="n">
        <f aca="false">MOD(280.46061837+360.98564736629*(J107-2451545)+0.000387933*L107^2-L107^3/38710000+$B$7,360)</f>
        <v>219.123022923246</v>
      </c>
      <c r="N107" s="30" t="n">
        <f aca="false">0.606433+1336.855225*L107 - INT(0.606433+1336.855225*L107)</f>
        <v>0.5576981365503</v>
      </c>
      <c r="O107" s="35" t="n">
        <f aca="false">22640*SIN(P107)-4586*SIN(P107-2*R107)+2370*SIN(2*R107)+769*SIN(2*P107)-668*SIN(Q107)-412*SIN(2*S107)-212*SIN(2*P107-2*R107)-206*SIN(P107+Q107-2*R107)+192*SIN(P107+2*R107)-165*SIN(Q107-2*R107)-125*SIN(R107)-110*SIN(P107+Q107)+148*SIN(P107-Q107)-55*SIN(2*S107-2*R107)</f>
        <v>-18540.8057631801</v>
      </c>
      <c r="P107" s="32" t="n">
        <f aca="false">2*PI()*(0.374897+1325.55241*L107 - INT(0.374897+1325.55241*L107))</f>
        <v>5.07084561044714</v>
      </c>
      <c r="Q107" s="36" t="n">
        <f aca="false">2*PI()*(0.993133+99.997361*L107 - INT(0.993133+99.997361*L107))</f>
        <v>1.75941231080426</v>
      </c>
      <c r="R107" s="36" t="n">
        <f aca="false">2*PI()*(0.827361+1236.853086*L107 - INT(0.827361+1236.853086*L107))</f>
        <v>3.08300242074285</v>
      </c>
      <c r="S107" s="36" t="n">
        <f aca="false">2*PI()*(0.259086+1342.227825*L107 - INT(0.259086+1342.227825*L107))</f>
        <v>2.56208179667257</v>
      </c>
      <c r="T107" s="36" t="n">
        <f aca="false">S107+(O107+412*SIN(2*S107)+541*SIN(Q107))/206264.8062</f>
        <v>2.47293928779903</v>
      </c>
      <c r="U107" s="36" t="n">
        <f aca="false">S107-2*R107</f>
        <v>-3.60392304481312</v>
      </c>
      <c r="V107" s="34" t="n">
        <f aca="false">-526*SIN(U107)+44*SIN(P107+U107)-31*SIN(-P107+U107)-23*SIN(Q107+U107)+11*SIN(-Q107+U107)-25*SIN(-2*P107+S107)+21*SIN(-P107+S107)</f>
        <v>-127.181282651223</v>
      </c>
      <c r="W107" s="36" t="n">
        <f aca="false">2*PI()*(N107+O107/1296000-INT(N107+O107/1296000))</f>
        <v>3.41423237448644</v>
      </c>
      <c r="X107" s="35" t="n">
        <f aca="false">W107*180/PI()</f>
        <v>195.621105335002</v>
      </c>
      <c r="Y107" s="36" t="n">
        <f aca="false">(18520*SIN(T107)+V107)/206264.8062</f>
        <v>0.0550453600609868</v>
      </c>
      <c r="Z107" s="36" t="n">
        <f aca="false">Y107*180/PI()</f>
        <v>3.15386681327253</v>
      </c>
      <c r="AA107" s="36" t="n">
        <f aca="false">COS(Y107)*COS(W107)</f>
        <v>-0.961604774066344</v>
      </c>
      <c r="AB107" s="36" t="n">
        <f aca="false">COS(Y107)*SIN(W107)</f>
        <v>-0.26886674371452</v>
      </c>
      <c r="AC107" s="36" t="n">
        <f aca="false">SIN(Y107)</f>
        <v>0.055017566441686</v>
      </c>
      <c r="AD107" s="36" t="n">
        <f aca="false">COS($A$10*(23.4393-46.815*L107/3600))*AB107-SIN($A$10*(23.4393-46.815*L107/3600))*AC107</f>
        <v>-0.268567993048087</v>
      </c>
      <c r="AE107" s="36" t="n">
        <f aca="false">SIN($A$10*(23.4393-46.815*L107/3600))*AB107+COS($A$10*(23.4393-46.815*L107/3600))*AC107</f>
        <v>-0.0564578745874976</v>
      </c>
      <c r="AF107" s="36" t="n">
        <f aca="false">SQRT(1-AE107*AE107)</f>
        <v>0.998404982157572</v>
      </c>
      <c r="AG107" s="35" t="n">
        <f aca="false">ATAN(AE107/AF107)/$A$10</f>
        <v>-3.23651888564578</v>
      </c>
      <c r="AH107" s="36" t="n">
        <f aca="false">IF(24*ATAN(AD107/(AA107+AF107))/PI()&gt;0,24*ATAN(AD107/(AA107+AF107))/PI(),24*ATAN(AD107/(AA107+AF107))/PI()+24)</f>
        <v>13.0403062730276</v>
      </c>
      <c r="AI107" s="63" t="n">
        <f aca="false">IF(M107-15*AH107&gt;0,M107-15*AH107,360+M107-15*AH107)</f>
        <v>23.5184288278313</v>
      </c>
      <c r="AJ107" s="32" t="n">
        <f aca="false">0.950724+0.051818*COS(P107)+0.009531*COS(2*R107-P107)+0.007843*COS(2*R107)+0.002824*COS(2*P107)+0.000857*COS(2*R107+P107)+0.000533*COS(2*R107-Q107)*(1-0.002495*(J107-2415020)/36525)+0.000401*COS(2*R107-Q107-P107)*(1-0.002495*(J107-2415020)/36525)+0.00032*COS(P107-Q107)*(1-0.002495*(J107-2415020)/36525)-0.000271*COS(R107)</f>
        <v>0.979243624238029</v>
      </c>
      <c r="AK107" s="36" t="n">
        <f aca="false">ASIN(COS($A$10*$B$5)*COS($A$10*AG107)*COS($A$10*AI107)+SIN($A$10*$B$5)*SIN($A$10*AG107))/$A$10</f>
        <v>33.0385404073267</v>
      </c>
      <c r="AL107" s="32" t="n">
        <f aca="false">ASIN((0.9983271+0.0016764*COS($A$10*2*$B$5))*COS($A$10*AK107)*SIN($A$10*AJ107))/$A$10</f>
        <v>0.819279644377342</v>
      </c>
      <c r="AM107" s="32" t="n">
        <f aca="false">AK107-AL107</f>
        <v>32.2192607629494</v>
      </c>
      <c r="AN107" s="35" t="n">
        <f aca="false"> MOD(280.4664567 + 360007.6982779*L107/10 + 0.03032028*L107^2/100 + L107^3/49931000,360)</f>
        <v>24.1288066859543</v>
      </c>
      <c r="AO107" s="32" t="n">
        <f aca="false"> AN107 + (1.9146 - 0.004817*L107 - 0.000014*L107^2)*SIN(Q107)+ (0.019993 - 0.000101*L107)*SIN(2*Q107)+ 0.00029*SIN(3*Q107)</f>
        <v>26.0007945102069</v>
      </c>
      <c r="AP107" s="32" t="n">
        <f aca="false">ACOS(COS(W107-$A$10*AO107)*COS(Y107))/$A$10</f>
        <v>169.156764894716</v>
      </c>
      <c r="AQ107" s="34" t="n">
        <f aca="false">180 - AP107 -0.1468*(1-0.0549*SIN(Q107))*SIN($A$10*AP107)/(1-0.0167*SIN($A$10*AO107))</f>
        <v>10.8169152862972</v>
      </c>
      <c r="AR107" s="64" t="n">
        <f aca="false">SIN($A$10*AI107)</f>
        <v>0.399044014910415</v>
      </c>
      <c r="AS107" s="64" t="n">
        <f aca="false">COS($A$10*AI107)*SIN($A$10*$B$5) - TAN($A$10*AG107)*COS($A$10*$B$5)</f>
        <v>0.738758887116667</v>
      </c>
      <c r="AT107" s="24" t="n">
        <f aca="false">IF(OR(AND(AR107*AS107&gt;0), AND(AR107&lt;0,AS107&gt;0)), MOD(ATAN2(AS107,AR107)/$A$10+360,360),  ATAN2(AS107,AR107)/$A$10)</f>
        <v>28.3759041790476</v>
      </c>
      <c r="AU107" s="39" t="n">
        <f aca="false"> 385000.56 + (-20905355*COS(P107) - 3699111*COS(2*R107-P107) - 2955968*COS(2*R107) - 569925*COS(2*P107) + (1-0.002516*L107)*48888*COS(Q107) - 3149*COS(2*S107)  +246158*COS(2*R107-2*P107) -(1 - 0.002516*L107)*152138*COS(2*R107-Q107-P107) -170733*COS(2*R107+P107) -(1 - 0.002516*L107)*204586*COS(2*R107-Q107) -(1 - 0.002516*L107)*129620*COS(Q107-P107)  + 108743*COS(R107) +(1-0.002516*L107)*104755*COS(Q107+P107) +10321*COS(2*R107-2*S107) +79661*COS(P107-2*S107) -34782*COS(4*R107-P107) -23210*COS(3*P107)  -21636*COS(4*R107-2*P107) +(1 - 0.002516*L107)*24208*COS(2*R107+Q107-P107) +(1 - 0.002516*L107)*30824*COS(2*R107+Q107) -8379*COS(R107-P107) -(1 - 0.002516*L107)*16675*COS(R107+Q107)  -(1 - 0.002516*L107)*12831*COS(2*R107-Q107+P107) -10445*COS(2*R107+2*P107) -11650*COS(4*R107) +14403*COS(2*R107-3*P107) -(1-0.002516*L107)*7003*COS(Q107-2*P107)  + (1 - 0.002516*L107)*10056*COS(2*R107-Q107-2*P107) +6322*COS(R107+P107) -(1 - 0.002516*L107)*(1-0.002516*L107)*9884*COS(2*R107-2*Q107) +(1-0.002516*L107)*5751*COS(Q107+2*P107) - (1-0.002516*L107)^2*4950*COS(2*R107-2*Q107-P107)  +4130*COS(2*R107+P107-2*S107) -(1-0.002516*L107)*3958*COS(4*R107-Q107-P107) +3258*COS(3*R107-P107) +(1 - 0.002516*L107)*2616*COS(2*R107+Q107+P107) -(1 - 0.002516*L107)*1897*COS(4*R107-Q107-2*P107)  -(1-0.002516*L107)^2*2117*COS(2*Q107-P107) +(1-0.002516*L107)^2*2354*COS(2*R107+2*Q107-P107) -1423*COS(4*R107+P107) -1117*COS(4*P107) -(1-0.002516*L107)*1571*COS(4*R107-Q107)  -1739*COS(R107-2*P107) -4421*COS(2*P107-2*S107) +(1-0.002516*L107)^2*1165*COS(2*Q107+P107) +8752*COS(2*R107-P107-2*S107))/1000</f>
        <v>373389.666562197</v>
      </c>
      <c r="AV107" s="54" t="n">
        <f aca="false">ATAN(0.99664719*TAN($A$10*input!$E$2))</f>
        <v>0.871010436227447</v>
      </c>
      <c r="AW107" s="54" t="n">
        <f aca="false">COS(AV107)</f>
        <v>0.644053912545845</v>
      </c>
      <c r="AX107" s="54" t="n">
        <f aca="false">0.99664719*SIN(AV107)</f>
        <v>0.762415269897027</v>
      </c>
      <c r="AY107" s="54" t="n">
        <f aca="false">6378.14/AU107</f>
        <v>0.0170817260657575</v>
      </c>
      <c r="AZ107" s="55" t="n">
        <f aca="false">M107-15*AH107</f>
        <v>23.5184288278313</v>
      </c>
      <c r="BA107" s="56" t="n">
        <f aca="false">COS($A$10*AG107)*SIN($A$10*AZ107)</f>
        <v>0.398407532586719</v>
      </c>
      <c r="BB107" s="56" t="n">
        <f aca="false">COS($A$10*AG107)*COS($A$10*AZ107)-AW107*AY107</f>
        <v>0.904467696773186</v>
      </c>
      <c r="BC107" s="56" t="n">
        <f aca="false">SIN($A$10*AG107)-AX107*AY107</f>
        <v>-0.0694812433762292</v>
      </c>
      <c r="BD107" s="57" t="n">
        <f aca="false">SQRT(BA107^2+BB107^2+BC107^2)</f>
        <v>0.99076637998528</v>
      </c>
      <c r="BE107" s="58" t="n">
        <f aca="false">AU107*BD107</f>
        <v>369941.928263739</v>
      </c>
    </row>
    <row r="108" customFormat="false" ht="15" hidden="false" customHeight="false" outlineLevel="0" collapsed="false">
      <c r="D108" s="41" t="n">
        <f aca="false">K108-INT(275*E108/9)+IF($A$8="common year",2,1)*INT((E108+9)/12)+30</f>
        <v>17</v>
      </c>
      <c r="E108" s="41" t="n">
        <f aca="false">IF(K108&lt;32,1,INT(9*(IF($A$8="common year",2,1)+K108)/275+0.98))</f>
        <v>4</v>
      </c>
      <c r="F108" s="42" t="n">
        <f aca="false">AM108</f>
        <v>28.7932750846188</v>
      </c>
      <c r="G108" s="60" t="n">
        <f aca="false">F108+1.02/(TAN($A$10*(F108+10.3/(F108+5.11)))*60)</f>
        <v>28.8238217190411</v>
      </c>
      <c r="H108" s="43" t="n">
        <f aca="false">100*(1+COS($A$10*AQ108))/2</f>
        <v>99.9104251592793</v>
      </c>
      <c r="I108" s="43" t="n">
        <f aca="false">IF(AI108&gt;180,AT108-180,AT108+180)</f>
        <v>193.316826804506</v>
      </c>
      <c r="J108" s="61" t="n">
        <f aca="false">$J$2+K107</f>
        <v>2459686.5</v>
      </c>
      <c r="K108" s="21" t="n">
        <v>107</v>
      </c>
      <c r="L108" s="62" t="n">
        <f aca="false">(J108-2451545)/36525</f>
        <v>0.22290212183436</v>
      </c>
      <c r="M108" s="63" t="n">
        <f aca="false">MOD(280.46061837+360.98564736629*(J108-2451545)+0.000387933*L108^2-L108^3/38710000+$B$7,360)</f>
        <v>220.108670294285</v>
      </c>
      <c r="N108" s="30" t="n">
        <f aca="false">0.606433+1336.855225*L108 - INT(0.606433+1336.855225*L108)</f>
        <v>0.594299237850805</v>
      </c>
      <c r="O108" s="35" t="n">
        <f aca="false">22640*SIN(P108)-4586*SIN(P108-2*R108)+2370*SIN(2*R108)+769*SIN(2*P108)-668*SIN(Q108)-412*SIN(2*S108)-212*SIN(2*P108-2*R108)-206*SIN(P108+Q108-2*R108)+192*SIN(P108+2*R108)-165*SIN(Q108-2*R108)-125*SIN(R108)-110*SIN(P108+Q108)+148*SIN(P108-Q108)-55*SIN(2*S108-2*R108)</f>
        <v>-15112.3938085358</v>
      </c>
      <c r="P108" s="32" t="n">
        <f aca="false">2*PI()*(0.374897+1325.55241*L108 - INT(0.374897+1325.55241*L108))</f>
        <v>5.29887275422296</v>
      </c>
      <c r="Q108" s="36" t="n">
        <f aca="false">2*PI()*(0.993133+99.997361*L108 - INT(0.993133+99.997361*L108))</f>
        <v>1.77661428067126</v>
      </c>
      <c r="R108" s="36" t="n">
        <f aca="false">2*PI()*(0.827361+1236.853086*L108 - INT(0.827361+1236.853086*L108))</f>
        <v>3.29577113086152</v>
      </c>
      <c r="S108" s="36" t="n">
        <f aca="false">2*PI()*(0.259086+1342.227825*L108 - INT(0.259086+1342.227825*L108))</f>
        <v>2.79297751601358</v>
      </c>
      <c r="T108" s="36" t="n">
        <f aca="false">S108+(O108+412*SIN(2*S108)+541*SIN(Q108))/206264.8062</f>
        <v>2.72099550300733</v>
      </c>
      <c r="U108" s="36" t="n">
        <f aca="false">S108-2*R108</f>
        <v>-3.79856474570945</v>
      </c>
      <c r="V108" s="34" t="n">
        <f aca="false">-526*SIN(U108)+44*SIN(P108+U108)-31*SIN(-P108+U108)-23*SIN(Q108+U108)+11*SIN(-Q108+U108)-25*SIN(-2*P108+S108)+21*SIN(-P108+S108)</f>
        <v>-227.028281224293</v>
      </c>
      <c r="W108" s="36" t="n">
        <f aca="false">2*PI()*(N108+O108/1296000-INT(N108+O108/1296000))</f>
        <v>3.66082528660527</v>
      </c>
      <c r="X108" s="35" t="n">
        <f aca="false">W108*180/PI()</f>
        <v>209.749838457252</v>
      </c>
      <c r="Y108" s="36" t="n">
        <f aca="false">(18520*SIN(T108)+V108)/206264.8062</f>
        <v>0.0355600752112346</v>
      </c>
      <c r="Z108" s="36" t="n">
        <f aca="false">Y108*180/PI()</f>
        <v>2.03744222877152</v>
      </c>
      <c r="AA108" s="36" t="n">
        <f aca="false">COS(Y108)*COS(W108)</f>
        <v>-0.867651343575627</v>
      </c>
      <c r="AB108" s="36" t="n">
        <f aca="false">COS(Y108)*SIN(W108)</f>
        <v>-0.495900352848481</v>
      </c>
      <c r="AC108" s="36" t="n">
        <f aca="false">SIN(Y108)</f>
        <v>0.0355525812869052</v>
      </c>
      <c r="AD108" s="36" t="n">
        <f aca="false">COS($A$10*(23.4393-46.815*L108/3600))*AB108-SIN($A$10*(23.4393-46.815*L108/3600))*AC108</f>
        <v>-0.469129986110209</v>
      </c>
      <c r="AE108" s="36" t="n">
        <f aca="false">SIN($A$10*(23.4393-46.815*L108/3600))*AB108+COS($A$10*(23.4393-46.815*L108/3600))*AC108</f>
        <v>-0.164615315580433</v>
      </c>
      <c r="AF108" s="36" t="n">
        <f aca="false">SQRT(1-AE108*AE108)</f>
        <v>0.986357844738082</v>
      </c>
      <c r="AG108" s="35" t="n">
        <f aca="false">ATAN(AE108/AF108)/$A$10</f>
        <v>-9.47488810435274</v>
      </c>
      <c r="AH108" s="36" t="n">
        <f aca="false">IF(24*ATAN(AD108/(AA108+AF108))/PI()&gt;0,24*ATAN(AD108/(AA108+AF108))/PI(),24*ATAN(AD108/(AA108+AF108))/PI()+24)</f>
        <v>13.8933083117666</v>
      </c>
      <c r="AI108" s="63" t="n">
        <f aca="false">IF(M108-15*AH108&gt;0,M108-15*AH108,360+M108-15*AH108)</f>
        <v>11.7090456177864</v>
      </c>
      <c r="AJ108" s="32" t="n">
        <f aca="false">0.950724+0.051818*COS(P108)+0.009531*COS(2*R108-P108)+0.007843*COS(2*R108)+0.002824*COS(2*P108)+0.000857*COS(2*R108+P108)+0.000533*COS(2*R108-Q108)*(1-0.002495*(J108-2415020)/36525)+0.000401*COS(2*R108-Q108-P108)*(1-0.002495*(J108-2415020)/36525)+0.00032*COS(P108-Q108)*(1-0.002495*(J108-2415020)/36525)-0.000271*COS(R108)</f>
        <v>0.98944613792259</v>
      </c>
      <c r="AK108" s="36" t="n">
        <f aca="false">ASIN(COS($A$10*$B$5)*COS($A$10*AG108)*COS($A$10*AI108)+SIN($A$10*$B$5)*SIN($A$10*AG108))/$A$10</f>
        <v>29.6514548583528</v>
      </c>
      <c r="AL108" s="32" t="n">
        <f aca="false">ASIN((0.9983271+0.0016764*COS($A$10*2*$B$5))*COS($A$10*AK108)*SIN($A$10*AJ108))/$A$10</f>
        <v>0.858179773734015</v>
      </c>
      <c r="AM108" s="32" t="n">
        <f aca="false">AK108-AL108</f>
        <v>28.7932750846188</v>
      </c>
      <c r="AN108" s="35" t="n">
        <f aca="false"> MOD(280.4664567 + 360007.6982779*L108/10 + 0.03032028*L108^2/100 + L108^3/49931000,360)</f>
        <v>25.1144540497608</v>
      </c>
      <c r="AO108" s="32" t="n">
        <f aca="false"> AN108 + (1.9146 - 0.004817*L108 - 0.000014*L108^2)*SIN(Q108)+ (0.019993 - 0.000101*L108)*SIN(2*Q108)+ 0.00029*SIN(3*Q108)</f>
        <v>26.9793662208276</v>
      </c>
      <c r="AP108" s="32" t="n">
        <f aca="false">ACOS(COS(W108-$A$10*AO108)*COS(Y108))/$A$10</f>
        <v>176.561475433754</v>
      </c>
      <c r="AQ108" s="34" t="n">
        <f aca="false">180 - AP108 -0.1468*(1-0.0549*SIN(Q108))*SIN($A$10*AP108)/(1-0.0167*SIN($A$10*AO108))</f>
        <v>3.43012943317534</v>
      </c>
      <c r="AR108" s="64" t="n">
        <f aca="false">SIN($A$10*AI108)</f>
        <v>0.202941888426236</v>
      </c>
      <c r="AS108" s="64" t="n">
        <f aca="false">COS($A$10*AI108)*SIN($A$10*$B$5) - TAN($A$10*AG108)*COS($A$10*$B$5)</f>
        <v>0.857379821526105</v>
      </c>
      <c r="AT108" s="24" t="n">
        <f aca="false">IF(OR(AND(AR108*AS108&gt;0), AND(AR108&lt;0,AS108&gt;0)), MOD(ATAN2(AS108,AR108)/$A$10+360,360),  ATAN2(AS108,AR108)/$A$10)</f>
        <v>13.316826804506</v>
      </c>
      <c r="AU108" s="39" t="n">
        <f aca="false"> 385000.56 + (-20905355*COS(P108) - 3699111*COS(2*R108-P108) - 2955968*COS(2*R108) - 569925*COS(2*P108) + (1-0.002516*L108)*48888*COS(Q108) - 3149*COS(2*S108)  +246158*COS(2*R108-2*P108) -(1 - 0.002516*L108)*152138*COS(2*R108-Q108-P108) -170733*COS(2*R108+P108) -(1 - 0.002516*L108)*204586*COS(2*R108-Q108) -(1 - 0.002516*L108)*129620*COS(Q108-P108)  + 108743*COS(R108) +(1-0.002516*L108)*104755*COS(Q108+P108) +10321*COS(2*R108-2*S108) +79661*COS(P108-2*S108) -34782*COS(4*R108-P108) -23210*COS(3*P108)  -21636*COS(4*R108-2*P108) +(1 - 0.002516*L108)*24208*COS(2*R108+Q108-P108) +(1 - 0.002516*L108)*30824*COS(2*R108+Q108) -8379*COS(R108-P108) -(1 - 0.002516*L108)*16675*COS(R108+Q108)  -(1 - 0.002516*L108)*12831*COS(2*R108-Q108+P108) -10445*COS(2*R108+2*P108) -11650*COS(4*R108) +14403*COS(2*R108-3*P108) -(1-0.002516*L108)*7003*COS(Q108-2*P108)  + (1 - 0.002516*L108)*10056*COS(2*R108-Q108-2*P108) +6322*COS(R108+P108) -(1 - 0.002516*L108)*(1-0.002516*L108)*9884*COS(2*R108-2*Q108) +(1-0.002516*L108)*5751*COS(Q108+2*P108) - (1-0.002516*L108)^2*4950*COS(2*R108-2*Q108-P108)  +4130*COS(2*R108+P108-2*S108) -(1-0.002516*L108)*3958*COS(4*R108-Q108-P108) +3258*COS(3*R108-P108) +(1 - 0.002516*L108)*2616*COS(2*R108+Q108+P108) -(1 - 0.002516*L108)*1897*COS(4*R108-Q108-2*P108)  -(1-0.002516*L108)^2*2117*COS(2*Q108-P108) +(1-0.002516*L108)^2*2354*COS(2*R108+2*Q108-P108) -1423*COS(4*R108+P108) -1117*COS(4*P108) -(1-0.002516*L108)*1571*COS(4*R108-Q108)  -1739*COS(R108-2*P108) -4421*COS(2*P108-2*S108) +(1-0.002516*L108)^2*1165*COS(2*Q108+P108) +8752*COS(2*R108-P108-2*S108))/1000</f>
        <v>369535.838615106</v>
      </c>
      <c r="AV108" s="54" t="n">
        <f aca="false">ATAN(0.99664719*TAN($A$10*input!$E$2))</f>
        <v>0.871010436227447</v>
      </c>
      <c r="AW108" s="54" t="n">
        <f aca="false">COS(AV108)</f>
        <v>0.644053912545845</v>
      </c>
      <c r="AX108" s="54" t="n">
        <f aca="false">0.99664719*SIN(AV108)</f>
        <v>0.762415269897027</v>
      </c>
      <c r="AY108" s="54" t="n">
        <f aca="false">6378.14/AU108</f>
        <v>0.017259868552677</v>
      </c>
      <c r="AZ108" s="55" t="n">
        <f aca="false">M108-15*AH108</f>
        <v>11.7090456177864</v>
      </c>
      <c r="BA108" s="56" t="n">
        <f aca="false">COS($A$10*AG108)*SIN($A$10*AZ108)</f>
        <v>0.200173323675178</v>
      </c>
      <c r="BB108" s="56" t="n">
        <f aca="false">COS($A$10*AG108)*COS($A$10*AZ108)-AW108*AY108</f>
        <v>0.954716224642316</v>
      </c>
      <c r="BC108" s="56" t="n">
        <f aca="false">SIN($A$10*AG108)-AX108*AY108</f>
        <v>-0.17777450292141</v>
      </c>
      <c r="BD108" s="57" t="n">
        <f aca="false">SQRT(BA108^2+BB108^2+BC108^2)</f>
        <v>0.991542335452904</v>
      </c>
      <c r="BE108" s="58" t="n">
        <f aca="false">AU108*BD108</f>
        <v>366410.42845397</v>
      </c>
    </row>
    <row r="109" customFormat="false" ht="15" hidden="false" customHeight="false" outlineLevel="0" collapsed="false">
      <c r="D109" s="41" t="n">
        <f aca="false">K109-INT(275*E109/9)+IF($A$8="common year",2,1)*INT((E109+9)/12)+30</f>
        <v>18</v>
      </c>
      <c r="E109" s="41" t="n">
        <f aca="false">IF(K109&lt;32,1,INT(9*(IF($A$8="common year",2,1)+K109)/275+0.98))</f>
        <v>4</v>
      </c>
      <c r="F109" s="42" t="n">
        <f aca="false">AM109</f>
        <v>23.7568566416405</v>
      </c>
      <c r="G109" s="60" t="n">
        <f aca="false">F109+1.02/(TAN($A$10*(F109+10.3/(F109+5.11)))*60)</f>
        <v>23.7948363094993</v>
      </c>
      <c r="H109" s="43" t="n">
        <f aca="false">100*(1+COS($A$10*AQ109))/2</f>
        <v>98.0300568342521</v>
      </c>
      <c r="I109" s="43" t="n">
        <f aca="false">IF(AI109&gt;180,AT109-180,AT109+180)</f>
        <v>179.151322375782</v>
      </c>
      <c r="J109" s="61" t="n">
        <f aca="false">$J$2+K108</f>
        <v>2459687.5</v>
      </c>
      <c r="K109" s="21" t="n">
        <v>108</v>
      </c>
      <c r="L109" s="62" t="n">
        <f aca="false">(J109-2451545)/36525</f>
        <v>0.222929500342231</v>
      </c>
      <c r="M109" s="63" t="n">
        <f aca="false">MOD(280.46061837+360.98564736629*(J109-2451545)+0.000387933*L109^2-L109^3/38710000+$B$7,360)</f>
        <v>221.094317665324</v>
      </c>
      <c r="N109" s="30" t="n">
        <f aca="false">0.606433+1336.855225*L109 - INT(0.606433+1336.855225*L109)</f>
        <v>0.630900339151253</v>
      </c>
      <c r="O109" s="35" t="n">
        <f aca="false">22640*SIN(P109)-4586*SIN(P109-2*R109)+2370*SIN(2*R109)+769*SIN(2*P109)-668*SIN(Q109)-412*SIN(2*S109)-212*SIN(2*P109-2*R109)-206*SIN(P109+Q109-2*R109)+192*SIN(P109+2*R109)-165*SIN(Q109-2*R109)-125*SIN(R109)-110*SIN(P109+Q109)+148*SIN(P109-Q109)-55*SIN(2*S109-2*R109)</f>
        <v>-10832.1697191816</v>
      </c>
      <c r="P109" s="32" t="n">
        <f aca="false">2*PI()*(0.374897+1325.55241*L109 - INT(0.374897+1325.55241*L109))</f>
        <v>5.52689989799878</v>
      </c>
      <c r="Q109" s="36" t="n">
        <f aca="false">2*PI()*(0.993133+99.997361*L109 - INT(0.993133+99.997361*L109))</f>
        <v>1.79381625053825</v>
      </c>
      <c r="R109" s="36" t="n">
        <f aca="false">2*PI()*(0.827361+1236.853086*L109 - INT(0.827361+1236.853086*L109))</f>
        <v>3.50853984098054</v>
      </c>
      <c r="S109" s="36" t="n">
        <f aca="false">2*PI()*(0.259086+1342.227825*L109 - INT(0.259086+1342.227825*L109))</f>
        <v>3.02387323535458</v>
      </c>
      <c r="T109" s="36" t="n">
        <f aca="false">S109+(O109+412*SIN(2*S109)+541*SIN(Q109))/206264.8062</f>
        <v>2.97344933867267</v>
      </c>
      <c r="U109" s="36" t="n">
        <f aca="false">S109-2*R109</f>
        <v>-3.9932064466065</v>
      </c>
      <c r="V109" s="34" t="n">
        <f aca="false">-526*SIN(U109)+44*SIN(P109+U109)-31*SIN(-P109+U109)-23*SIN(Q109+U109)+11*SIN(-Q109+U109)-25*SIN(-2*P109+S109)+21*SIN(-P109+S109)</f>
        <v>-318.776827941813</v>
      </c>
      <c r="W109" s="36" t="n">
        <f aca="false">2*PI()*(N109+O109/1296000-INT(N109+O109/1296000))</f>
        <v>3.91154790049018</v>
      </c>
      <c r="X109" s="35" t="n">
        <f aca="false">W109*180/PI()</f>
        <v>224.115186061345</v>
      </c>
      <c r="Y109" s="36" t="n">
        <f aca="false">(18520*SIN(T109)+V109)/206264.8062</f>
        <v>0.0134806553700102</v>
      </c>
      <c r="Z109" s="36" t="n">
        <f aca="false">Y109*180/PI()</f>
        <v>0.772384657771954</v>
      </c>
      <c r="AA109" s="36" t="n">
        <f aca="false">COS(Y109)*COS(W109)</f>
        <v>-0.717876588998942</v>
      </c>
      <c r="AB109" s="36" t="n">
        <f aca="false">COS(Y109)*SIN(W109)</f>
        <v>-0.696039859423393</v>
      </c>
      <c r="AC109" s="36" t="n">
        <f aca="false">SIN(Y109)</f>
        <v>0.0134802470714749</v>
      </c>
      <c r="AD109" s="36" t="n">
        <f aca="false">COS($A$10*(23.4393-46.815*L109/3600))*AB109-SIN($A$10*(23.4393-46.815*L109/3600))*AC109</f>
        <v>-0.643979561026271</v>
      </c>
      <c r="AE109" s="36" t="n">
        <f aca="false">SIN($A$10*(23.4393-46.815*L109/3600))*AB109+COS($A$10*(23.4393-46.815*L109/3600))*AC109</f>
        <v>-0.264468387425899</v>
      </c>
      <c r="AF109" s="36" t="n">
        <f aca="false">SQRT(1-AE109*AE109)</f>
        <v>0.96439435505002</v>
      </c>
      <c r="AG109" s="35" t="n">
        <f aca="false">ATAN(AE109/AF109)/$A$10</f>
        <v>-15.3353666932057</v>
      </c>
      <c r="AH109" s="36" t="n">
        <f aca="false">IF(24*ATAN(AD109/(AA109+AF109))/PI()&gt;0,24*ATAN(AD109/(AA109+AF109))/PI(),24*ATAN(AD109/(AA109+AF109))/PI()+24)</f>
        <v>14.7929375198599</v>
      </c>
      <c r="AI109" s="63" t="n">
        <f aca="false">IF(M109-15*AH109&gt;0,M109-15*AH109,360+M109-15*AH109)</f>
        <v>359.200254867425</v>
      </c>
      <c r="AJ109" s="32" t="n">
        <f aca="false">0.950724+0.051818*COS(P109)+0.009531*COS(2*R109-P109)+0.007843*COS(2*R109)+0.002824*COS(2*P109)+0.000857*COS(2*R109+P109)+0.000533*COS(2*R109-Q109)*(1-0.002495*(J109-2415020)/36525)+0.000401*COS(2*R109-Q109-P109)*(1-0.002495*(J109-2415020)/36525)+0.00032*COS(P109-Q109)*(1-0.002495*(J109-2415020)/36525)-0.000271*COS(R109)</f>
        <v>0.996657966615487</v>
      </c>
      <c r="AK109" s="36" t="n">
        <f aca="false">ASIN(COS($A$10*$B$5)*COS($A$10*AG109)*COS($A$10*AI109)+SIN($A$10*$B$5)*SIN($A$10*AG109))/$A$10</f>
        <v>24.6608260951372</v>
      </c>
      <c r="AL109" s="32" t="n">
        <f aca="false">ASIN((0.9983271+0.0016764*COS($A$10*2*$B$5))*COS($A$10*AK109)*SIN($A$10*AJ109))/$A$10</f>
        <v>0.903969453496637</v>
      </c>
      <c r="AM109" s="32" t="n">
        <f aca="false">AK109-AL109</f>
        <v>23.7568566416405</v>
      </c>
      <c r="AN109" s="35" t="n">
        <f aca="false"> MOD(280.4664567 + 360007.6982779*L109/10 + 0.03032028*L109^2/100 + L109^3/49931000,360)</f>
        <v>26.1001014135654</v>
      </c>
      <c r="AO109" s="32" t="n">
        <f aca="false"> AN109 + (1.9146 - 0.004817*L109 - 0.000014*L109^2)*SIN(Q109)+ (0.019993 - 0.000101*L109)*SIN(2*Q109)+ 0.00029*SIN(3*Q109)</f>
        <v>27.957393756135</v>
      </c>
      <c r="AP109" s="32" t="n">
        <f aca="false">ACOS(COS(W109-$A$10*AO109)*COS(Y109))/$A$10</f>
        <v>163.824248681399</v>
      </c>
      <c r="AQ109" s="34" t="n">
        <f aca="false">180 - AP109 -0.1468*(1-0.0549*SIN(Q109))*SIN($A$10*AP109)/(1-0.0167*SIN($A$10*AO109))</f>
        <v>16.1367392542235</v>
      </c>
      <c r="AR109" s="64" t="n">
        <f aca="false">SIN($A$10*AI109)</f>
        <v>-0.0139577324968908</v>
      </c>
      <c r="AS109" s="64" t="n">
        <f aca="false">COS($A$10*AI109)*SIN($A$10*$B$5) - TAN($A$10*AG109)*COS($A$10*$B$5)</f>
        <v>0.942243147874166</v>
      </c>
      <c r="AT109" s="24" t="n">
        <f aca="false">IF(OR(AND(AR109*AS109&gt;0), AND(AR109&lt;0,AS109&gt;0)), MOD(ATAN2(AS109,AR109)/$A$10+360,360),  ATAN2(AS109,AR109)/$A$10)</f>
        <v>359.151322375782</v>
      </c>
      <c r="AU109" s="39" t="n">
        <f aca="false"> 385000.56 + (-20905355*COS(P109) - 3699111*COS(2*R109-P109) - 2955968*COS(2*R109) - 569925*COS(2*P109) + (1-0.002516*L109)*48888*COS(Q109) - 3149*COS(2*S109)  +246158*COS(2*R109-2*P109) -(1 - 0.002516*L109)*152138*COS(2*R109-Q109-P109) -170733*COS(2*R109+P109) -(1 - 0.002516*L109)*204586*COS(2*R109-Q109) -(1 - 0.002516*L109)*129620*COS(Q109-P109)  + 108743*COS(R109) +(1-0.002516*L109)*104755*COS(Q109+P109) +10321*COS(2*R109-2*S109) +79661*COS(P109-2*S109) -34782*COS(4*R109-P109) -23210*COS(3*P109)  -21636*COS(4*R109-2*P109) +(1 - 0.002516*L109)*24208*COS(2*R109+Q109-P109) +(1 - 0.002516*L109)*30824*COS(2*R109+Q109) -8379*COS(R109-P109) -(1 - 0.002516*L109)*16675*COS(R109+Q109)  -(1 - 0.002516*L109)*12831*COS(2*R109-Q109+P109) -10445*COS(2*R109+2*P109) -11650*COS(4*R109) +14403*COS(2*R109-3*P109) -(1-0.002516*L109)*7003*COS(Q109-2*P109)  + (1 - 0.002516*L109)*10056*COS(2*R109-Q109-2*P109) +6322*COS(R109+P109) -(1 - 0.002516*L109)*(1-0.002516*L109)*9884*COS(2*R109-2*Q109) +(1-0.002516*L109)*5751*COS(Q109+2*P109) - (1-0.002516*L109)^2*4950*COS(2*R109-2*Q109-P109)  +4130*COS(2*R109+P109-2*S109) -(1-0.002516*L109)*3958*COS(4*R109-Q109-P109) +3258*COS(3*R109-P109) +(1 - 0.002516*L109)*2616*COS(2*R109+Q109+P109) -(1 - 0.002516*L109)*1897*COS(4*R109-Q109-2*P109)  -(1-0.002516*L109)^2*2117*COS(2*Q109-P109) +(1-0.002516*L109)^2*2354*COS(2*R109+2*Q109-P109) -1423*COS(4*R109+P109) -1117*COS(4*P109) -(1-0.002516*L109)*1571*COS(4*R109-Q109)  -1739*COS(R109-2*P109) -4421*COS(2*P109-2*S109) +(1-0.002516*L109)^2*1165*COS(2*Q109+P109) +8752*COS(2*R109-P109-2*S109))/1000</f>
        <v>366825.186998015</v>
      </c>
      <c r="AV109" s="54" t="n">
        <f aca="false">ATAN(0.99664719*TAN($A$10*input!$E$2))</f>
        <v>0.871010436227447</v>
      </c>
      <c r="AW109" s="54" t="n">
        <f aca="false">COS(AV109)</f>
        <v>0.644053912545845</v>
      </c>
      <c r="AX109" s="54" t="n">
        <f aca="false">0.99664719*SIN(AV109)</f>
        <v>0.762415269897027</v>
      </c>
      <c r="AY109" s="54" t="n">
        <f aca="false">6378.14/AU109</f>
        <v>0.0173874102053808</v>
      </c>
      <c r="AZ109" s="55" t="n">
        <f aca="false">M109-15*AH109</f>
        <v>-0.799745132575424</v>
      </c>
      <c r="BA109" s="56" t="n">
        <f aca="false">COS($A$10*AG109)*SIN($A$10*AZ109)</f>
        <v>-0.0134607584293012</v>
      </c>
      <c r="BB109" s="56" t="n">
        <f aca="false">COS($A$10*AG109)*COS($A$10*AZ109)-AW109*AY109</f>
        <v>0.953101980069731</v>
      </c>
      <c r="BC109" s="56" t="n">
        <f aca="false">SIN($A$10*AG109)-AX109*AY109</f>
        <v>-0.277724814470444</v>
      </c>
      <c r="BD109" s="57" t="n">
        <f aca="false">SQRT(BA109^2+BB109^2+BC109^2)</f>
        <v>0.992832135359737</v>
      </c>
      <c r="BE109" s="58" t="n">
        <f aca="false">AU109*BD109</f>
        <v>364195.833710974</v>
      </c>
    </row>
    <row r="110" customFormat="false" ht="15" hidden="false" customHeight="false" outlineLevel="0" collapsed="false">
      <c r="D110" s="41" t="n">
        <f aca="false">K110-INT(275*E110/9)+IF($A$8="common year",2,1)*INT((E110+9)/12)+30</f>
        <v>19</v>
      </c>
      <c r="E110" s="41" t="n">
        <f aca="false">IF(K110&lt;32,1,INT(9*(IF($A$8="common year",2,1)+K110)/275+0.98))</f>
        <v>4</v>
      </c>
      <c r="F110" s="42" t="n">
        <f aca="false">AM110</f>
        <v>17.5468817987519</v>
      </c>
      <c r="G110" s="60" t="n">
        <f aca="false">F110+1.02/(TAN($A$10*(F110+10.3/(F110+5.11)))*60)</f>
        <v>17.5991977901948</v>
      </c>
      <c r="H110" s="43" t="n">
        <f aca="false">100*(1+COS($A$10*AQ110))/2</f>
        <v>93.4643793471288</v>
      </c>
      <c r="I110" s="43" t="n">
        <f aca="false">IF(AI110&gt;180,AT110-180,AT110+180)</f>
        <v>165.990041162385</v>
      </c>
      <c r="J110" s="61" t="n">
        <f aca="false">$J$2+K109</f>
        <v>2459688.5</v>
      </c>
      <c r="K110" s="21" t="n">
        <v>109</v>
      </c>
      <c r="L110" s="62" t="n">
        <f aca="false">(J110-2451545)/36525</f>
        <v>0.222956878850103</v>
      </c>
      <c r="M110" s="63" t="n">
        <f aca="false">MOD(280.46061837+360.98564736629*(J110-2451545)+0.000387933*L110^2-L110^3/38710000+$B$7,360)</f>
        <v>222.079965036362</v>
      </c>
      <c r="N110" s="30" t="n">
        <f aca="false">0.606433+1336.855225*L110 - INT(0.606433+1336.855225*L110)</f>
        <v>0.667501440451758</v>
      </c>
      <c r="O110" s="35" t="n">
        <f aca="false">22640*SIN(P110)-4586*SIN(P110-2*R110)+2370*SIN(2*R110)+769*SIN(2*P110)-668*SIN(Q110)-412*SIN(2*S110)-212*SIN(2*P110-2*R110)-206*SIN(P110+Q110-2*R110)+192*SIN(P110+2*R110)-165*SIN(Q110-2*R110)-125*SIN(R110)-110*SIN(P110+Q110)+148*SIN(P110-Q110)-55*SIN(2*S110-2*R110)</f>
        <v>-6036.98463134874</v>
      </c>
      <c r="P110" s="32" t="n">
        <f aca="false">2*PI()*(0.374897+1325.55241*L110 - INT(0.374897+1325.55241*L110))</f>
        <v>5.75492704177424</v>
      </c>
      <c r="Q110" s="36" t="n">
        <f aca="false">2*PI()*(0.993133+99.997361*L110 - INT(0.993133+99.997361*L110))</f>
        <v>1.81101822040523</v>
      </c>
      <c r="R110" s="36" t="n">
        <f aca="false">2*PI()*(0.827361+1236.853086*L110 - INT(0.827361+1236.853086*L110))</f>
        <v>3.72130855109956</v>
      </c>
      <c r="S110" s="36" t="n">
        <f aca="false">2*PI()*(0.259086+1342.227825*L110 - INT(0.259086+1342.227825*L110))</f>
        <v>3.25476895469558</v>
      </c>
      <c r="T110" s="36" t="n">
        <f aca="false">S110+(O110+412*SIN(2*S110)+541*SIN(Q110))/206264.8062</f>
        <v>3.22849662800987</v>
      </c>
      <c r="U110" s="36" t="n">
        <f aca="false">S110-2*R110</f>
        <v>-4.18784814750354</v>
      </c>
      <c r="V110" s="34" t="n">
        <f aca="false">-526*SIN(U110)+44*SIN(P110+U110)-31*SIN(-P110+U110)-23*SIN(Q110+U110)+11*SIN(-Q110+U110)-25*SIN(-2*P110+S110)+21*SIN(-P110+S110)</f>
        <v>-397.170609219076</v>
      </c>
      <c r="W110" s="36" t="n">
        <f aca="false">2*PI()*(N110+O110/1296000-INT(N110+O110/1296000))</f>
        <v>4.16476711574844</v>
      </c>
      <c r="X110" s="35" t="n">
        <f aca="false">W110*180/PI()</f>
        <v>238.623578387258</v>
      </c>
      <c r="Y110" s="36" t="n">
        <f aca="false">(18520*SIN(T110)+V110)/206264.8062</f>
        <v>-0.00971860959177266</v>
      </c>
      <c r="Z110" s="36" t="n">
        <f aca="false">Y110*180/PI()</f>
        <v>-0.556835312343933</v>
      </c>
      <c r="AA110" s="36" t="n">
        <f aca="false">COS(Y110)*COS(W110)</f>
        <v>-0.520633745838355</v>
      </c>
      <c r="AB110" s="36" t="n">
        <f aca="false">COS(Y110)*SIN(W110)</f>
        <v>-0.853724811807397</v>
      </c>
      <c r="AC110" s="36" t="n">
        <f aca="false">SIN(Y110)</f>
        <v>-0.00971845660315954</v>
      </c>
      <c r="AD110" s="36" t="n">
        <f aca="false">COS($A$10*(23.4393-46.815*L110/3600))*AB110-SIN($A$10*(23.4393-46.815*L110/3600))*AC110</f>
        <v>-0.779429001460023</v>
      </c>
      <c r="AE110" s="36" t="n">
        <f aca="false">SIN($A$10*(23.4393-46.815*L110/3600))*AB110+COS($A$10*(23.4393-46.815*L110/3600))*AC110</f>
        <v>-0.348469416703037</v>
      </c>
      <c r="AF110" s="36" t="n">
        <f aca="false">SQRT(1-AE110*AE110)</f>
        <v>0.937320151081073</v>
      </c>
      <c r="AG110" s="35" t="n">
        <f aca="false">ATAN(AE110/AF110)/$A$10</f>
        <v>-20.3937263473975</v>
      </c>
      <c r="AH110" s="36" t="n">
        <f aca="false">IF(24*ATAN(AD110/(AA110+AF110))/PI()&gt;0,24*ATAN(AD110/(AA110+AF110))/PI(),24*ATAN(AD110/(AA110+AF110))/PI()+24)</f>
        <v>15.7505559038592</v>
      </c>
      <c r="AI110" s="63" t="n">
        <f aca="false">IF(M110-15*AH110&gt;0,M110-15*AH110,360+M110-15*AH110)</f>
        <v>345.821626478474</v>
      </c>
      <c r="AJ110" s="32" t="n">
        <f aca="false">0.950724+0.051818*COS(P110)+0.009531*COS(2*R110-P110)+0.007843*COS(2*R110)+0.002824*COS(2*P110)+0.000857*COS(2*R110+P110)+0.000533*COS(2*R110-Q110)*(1-0.002495*(J110-2415020)/36525)+0.000401*COS(2*R110-Q110-P110)*(1-0.002495*(J110-2415020)/36525)+0.00032*COS(P110-Q110)*(1-0.002495*(J110-2415020)/36525)-0.000271*COS(R110)</f>
        <v>1.0004082915971</v>
      </c>
      <c r="AK110" s="36" t="n">
        <f aca="false">ASIN(COS($A$10*$B$5)*COS($A$10*AG110)*COS($A$10*AI110)+SIN($A$10*$B$5)*SIN($A$10*AG110))/$A$10</f>
        <v>18.4937588676477</v>
      </c>
      <c r="AL110" s="32" t="n">
        <f aca="false">ASIN((0.9983271+0.0016764*COS($A$10*2*$B$5))*COS($A$10*AK110)*SIN($A$10*AJ110))/$A$10</f>
        <v>0.946877068895855</v>
      </c>
      <c r="AM110" s="32" t="n">
        <f aca="false">AK110-AL110</f>
        <v>17.5468817987519</v>
      </c>
      <c r="AN110" s="35" t="n">
        <f aca="false"> MOD(280.4664567 + 360007.6982779*L110/10 + 0.03032028*L110^2/100 + L110^3/49931000,360)</f>
        <v>27.0857487773701</v>
      </c>
      <c r="AO110" s="32" t="n">
        <f aca="false"> AN110 + (1.9146 - 0.004817*L110 - 0.000014*L110^2)*SIN(Q110)+ (0.019993 - 0.000101*L110)*SIN(2*Q110)+ 0.00029*SIN(3*Q110)</f>
        <v>28.9348799042699</v>
      </c>
      <c r="AP110" s="32" t="n">
        <f aca="false">ACOS(COS(W110-$A$10*AO110)*COS(Y110))/$A$10</f>
        <v>150.306555894746</v>
      </c>
      <c r="AQ110" s="34" t="n">
        <f aca="false">180 - AP110 -0.1468*(1-0.0549*SIN(Q110))*SIN($A$10*AP110)/(1-0.0167*SIN($A$10*AO110))</f>
        <v>29.6240422384683</v>
      </c>
      <c r="AR110" s="64" t="n">
        <f aca="false">SIN($A$10*AI110)</f>
        <v>-0.244941448110048</v>
      </c>
      <c r="AS110" s="64" t="n">
        <f aca="false">COS($A$10*AI110)*SIN($A$10*$B$5) - TAN($A$10*AG110)*COS($A$10*$B$5)</f>
        <v>0.981679555387949</v>
      </c>
      <c r="AT110" s="24" t="n">
        <f aca="false">IF(OR(AND(AR110*AS110&gt;0), AND(AR110&lt;0,AS110&gt;0)), MOD(ATAN2(AS110,AR110)/$A$10+360,360),  ATAN2(AS110,AR110)/$A$10)</f>
        <v>345.990041162385</v>
      </c>
      <c r="AU110" s="39" t="n">
        <f aca="false"> 385000.56 + (-20905355*COS(P110) - 3699111*COS(2*R110-P110) - 2955968*COS(2*R110) - 569925*COS(2*P110) + (1-0.002516*L110)*48888*COS(Q110) - 3149*COS(2*S110)  +246158*COS(2*R110-2*P110) -(1 - 0.002516*L110)*152138*COS(2*R110-Q110-P110) -170733*COS(2*R110+P110) -(1 - 0.002516*L110)*204586*COS(2*R110-Q110) -(1 - 0.002516*L110)*129620*COS(Q110-P110)  + 108743*COS(R110) +(1-0.002516*L110)*104755*COS(Q110+P110) +10321*COS(2*R110-2*S110) +79661*COS(P110-2*S110) -34782*COS(4*R110-P110) -23210*COS(3*P110)  -21636*COS(4*R110-2*P110) +(1 - 0.002516*L110)*24208*COS(2*R110+Q110-P110) +(1 - 0.002516*L110)*30824*COS(2*R110+Q110) -8379*COS(R110-P110) -(1 - 0.002516*L110)*16675*COS(R110+Q110)  -(1 - 0.002516*L110)*12831*COS(2*R110-Q110+P110) -10445*COS(2*R110+2*P110) -11650*COS(4*R110) +14403*COS(2*R110-3*P110) -(1-0.002516*L110)*7003*COS(Q110-2*P110)  + (1 - 0.002516*L110)*10056*COS(2*R110-Q110-2*P110) +6322*COS(R110+P110) -(1 - 0.002516*L110)*(1-0.002516*L110)*9884*COS(2*R110-2*Q110) +(1-0.002516*L110)*5751*COS(Q110+2*P110) - (1-0.002516*L110)^2*4950*COS(2*R110-2*Q110-P110)  +4130*COS(2*R110+P110-2*S110) -(1-0.002516*L110)*3958*COS(4*R110-Q110-P110) +3258*COS(3*R110-P110) +(1 - 0.002516*L110)*2616*COS(2*R110+Q110+P110) -(1 - 0.002516*L110)*1897*COS(4*R110-Q110-2*P110)  -(1-0.002516*L110)^2*2117*COS(2*Q110-P110) +(1-0.002516*L110)^2*2354*COS(2*R110+2*Q110-P110) -1423*COS(4*R110+P110) -1117*COS(4*P110) -(1-0.002516*L110)*1571*COS(4*R110-Q110)  -1739*COS(R110-2*P110) -4421*COS(2*P110-2*S110) +(1-0.002516*L110)^2*1165*COS(2*Q110+P110) +8752*COS(2*R110-P110-2*S110))/1000</f>
        <v>365391.036731781</v>
      </c>
      <c r="AV110" s="54" t="n">
        <f aca="false">ATAN(0.99664719*TAN($A$10*input!$E$2))</f>
        <v>0.871010436227447</v>
      </c>
      <c r="AW110" s="54" t="n">
        <f aca="false">COS(AV110)</f>
        <v>0.644053912545845</v>
      </c>
      <c r="AX110" s="54" t="n">
        <f aca="false">0.99664719*SIN(AV110)</f>
        <v>0.762415269897027</v>
      </c>
      <c r="AY110" s="54" t="n">
        <f aca="false">6378.14/AU110</f>
        <v>0.0174556553358531</v>
      </c>
      <c r="AZ110" s="55" t="n">
        <f aca="false">M110-15*AH110</f>
        <v>-14.1783735215256</v>
      </c>
      <c r="BA110" s="56" t="n">
        <f aca="false">COS($A$10*AG110)*SIN($A$10*AZ110)</f>
        <v>-0.229588555148528</v>
      </c>
      <c r="BB110" s="56" t="n">
        <f aca="false">COS($A$10*AG110)*COS($A$10*AZ110)-AW110*AY110</f>
        <v>0.897525002395319</v>
      </c>
      <c r="BC110" s="56" t="n">
        <f aca="false">SIN($A$10*AG110)-AX110*AY110</f>
        <v>-0.361777874877151</v>
      </c>
      <c r="BD110" s="57" t="n">
        <f aca="false">SQRT(BA110^2+BB110^2+BC110^2)</f>
        <v>0.994557824025598</v>
      </c>
      <c r="BE110" s="58" t="n">
        <f aca="false">AU110*BD110</f>
        <v>363402.514410417</v>
      </c>
    </row>
    <row r="111" customFormat="false" ht="15" hidden="false" customHeight="false" outlineLevel="0" collapsed="false">
      <c r="D111" s="41" t="n">
        <f aca="false">K111-INT(275*E111/9)+IF($A$8="common year",2,1)*INT((E111+9)/12)+30</f>
        <v>20</v>
      </c>
      <c r="E111" s="41" t="n">
        <f aca="false">IF(K111&lt;32,1,INT(9*(IF($A$8="common year",2,1)+K111)/275+0.98))</f>
        <v>4</v>
      </c>
      <c r="F111" s="42" t="n">
        <f aca="false">AM111</f>
        <v>10.629828867271</v>
      </c>
      <c r="G111" s="60" t="n">
        <f aca="false">F111+1.02/(TAN($A$10*(F111+10.3/(F111+5.11)))*60)</f>
        <v>10.7150276707086</v>
      </c>
      <c r="H111" s="43" t="n">
        <f aca="false">100*(1+COS($A$10*AQ111))/2</f>
        <v>86.4480574474979</v>
      </c>
      <c r="I111" s="43" t="n">
        <f aca="false">IF(AI111&gt;180,AT111-180,AT111+180)</f>
        <v>153.678039694969</v>
      </c>
      <c r="J111" s="61" t="n">
        <f aca="false">$J$2+K110</f>
        <v>2459689.5</v>
      </c>
      <c r="K111" s="21" t="n">
        <v>110</v>
      </c>
      <c r="L111" s="62" t="n">
        <f aca="false">(J111-2451545)/36525</f>
        <v>0.222984257357974</v>
      </c>
      <c r="M111" s="63" t="n">
        <f aca="false">MOD(280.46061837+360.98564736629*(J111-2451545)+0.000387933*L111^2-L111^3/38710000+$B$7,360)</f>
        <v>223.065612406936</v>
      </c>
      <c r="N111" s="30" t="n">
        <f aca="false">0.606433+1336.855225*L111 - INT(0.606433+1336.855225*L111)</f>
        <v>0.704102541752206</v>
      </c>
      <c r="O111" s="35" t="n">
        <f aca="false">22640*SIN(P111)-4586*SIN(P111-2*R111)+2370*SIN(2*R111)+769*SIN(2*P111)-668*SIN(Q111)-412*SIN(2*S111)-212*SIN(2*P111-2*R111)-206*SIN(P111+Q111-2*R111)+192*SIN(P111+2*R111)-165*SIN(Q111-2*R111)-125*SIN(R111)-110*SIN(P111+Q111)+148*SIN(P111-Q111)-55*SIN(2*S111-2*R111)</f>
        <v>-1080.87338827784</v>
      </c>
      <c r="P111" s="32" t="n">
        <f aca="false">2*PI()*(0.374897+1325.55241*L111 - INT(0.374897+1325.55241*L111))</f>
        <v>5.98295418555006</v>
      </c>
      <c r="Q111" s="36" t="n">
        <f aca="false">2*PI()*(0.993133+99.997361*L111 - INT(0.993133+99.997361*L111))</f>
        <v>1.82822019027224</v>
      </c>
      <c r="R111" s="36" t="n">
        <f aca="false">2*PI()*(0.827361+1236.853086*L111 - INT(0.827361+1236.853086*L111))</f>
        <v>3.93407726121859</v>
      </c>
      <c r="S111" s="36" t="n">
        <f aca="false">2*PI()*(0.259086+1342.227825*L111 - INT(0.259086+1342.227825*L111))</f>
        <v>3.48566467403659</v>
      </c>
      <c r="T111" s="36" t="n">
        <f aca="false">S111+(O111+412*SIN(2*S111)+541*SIN(Q111))/206264.8062</f>
        <v>3.48422944749585</v>
      </c>
      <c r="U111" s="36" t="n">
        <f aca="false">S111-2*R111</f>
        <v>-4.38248984840059</v>
      </c>
      <c r="V111" s="34" t="n">
        <f aca="false">-526*SIN(U111)+44*SIN(P111+U111)-31*SIN(-P111+U111)-23*SIN(Q111+U111)+11*SIN(-Q111+U111)-25*SIN(-2*P111+S111)+21*SIN(-P111+S111)</f>
        <v>-457.517542207183</v>
      </c>
      <c r="W111" s="36" t="n">
        <f aca="false">2*PI()*(N111+O111/1296000-INT(N111+O111/1296000))</f>
        <v>4.41876652302342</v>
      </c>
      <c r="X111" s="35" t="n">
        <f aca="false">W111*180/PI()</f>
        <v>253.176672422939</v>
      </c>
      <c r="Y111" s="36" t="n">
        <f aca="false">(18520*SIN(T111)+V111)/206264.8062</f>
        <v>-0.0323841717128934</v>
      </c>
      <c r="Z111" s="36" t="n">
        <f aca="false">Y111*180/PI()</f>
        <v>-1.85547636217574</v>
      </c>
      <c r="AA111" s="36" t="n">
        <f aca="false">COS(Y111)*COS(W111)</f>
        <v>-0.289269789010378</v>
      </c>
      <c r="AB111" s="36" t="n">
        <f aca="false">COS(Y111)*SIN(W111)</f>
        <v>-0.956699859491909</v>
      </c>
      <c r="AC111" s="36" t="n">
        <f aca="false">SIN(Y111)</f>
        <v>-0.0323785116095922</v>
      </c>
      <c r="AD111" s="36" t="n">
        <f aca="false">COS($A$10*(23.4393-46.815*L111/3600))*AB111-SIN($A$10*(23.4393-46.815*L111/3600))*AC111</f>
        <v>-0.864896226012003</v>
      </c>
      <c r="AE111" s="36" t="n">
        <f aca="false">SIN($A$10*(23.4393-46.815*L111/3600))*AB111+COS($A$10*(23.4393-46.815*L111/3600))*AC111</f>
        <v>-0.410216415317679</v>
      </c>
      <c r="AF111" s="36" t="n">
        <f aca="false">SQRT(1-AE111*AE111)</f>
        <v>0.9119882085882</v>
      </c>
      <c r="AG111" s="35" t="n">
        <f aca="false">ATAN(AE111/AF111)/$A$10</f>
        <v>-24.2184303969179</v>
      </c>
      <c r="AH111" s="36" t="n">
        <f aca="false">IF(24*ATAN(AD111/(AA111+AF111))/PI()&gt;0,24*ATAN(AD111/(AA111+AF111))/PI(),24*ATAN(AD111/(AA111+AF111))/PI()+24)</f>
        <v>16.7671450430466</v>
      </c>
      <c r="AI111" s="63" t="n">
        <f aca="false">IF(M111-15*AH111&gt;0,M111-15*AH111,360+M111-15*AH111)</f>
        <v>331.558436761236</v>
      </c>
      <c r="AJ111" s="32" t="n">
        <f aca="false">0.950724+0.051818*COS(P111)+0.009531*COS(2*R111-P111)+0.007843*COS(2*R111)+0.002824*COS(2*P111)+0.000857*COS(2*R111+P111)+0.000533*COS(2*R111-Q111)*(1-0.002495*(J111-2415020)/36525)+0.000401*COS(2*R111-Q111-P111)*(1-0.002495*(J111-2415020)/36525)+0.00032*COS(P111-Q111)*(1-0.002495*(J111-2415020)/36525)-0.000271*COS(R111)</f>
        <v>1.00067359882344</v>
      </c>
      <c r="AK111" s="36" t="n">
        <f aca="false">ASIN(COS($A$10*$B$5)*COS($A$10*AG111)*COS($A$10*AI111)+SIN($A$10*$B$5)*SIN($A$10*AG111))/$A$10</f>
        <v>11.6081081426755</v>
      </c>
      <c r="AL111" s="32" t="n">
        <f aca="false">ASIN((0.9983271+0.0016764*COS($A$10*2*$B$5))*COS($A$10*AK111)*SIN($A$10*AJ111))/$A$10</f>
        <v>0.978279275404458</v>
      </c>
      <c r="AM111" s="32" t="n">
        <f aca="false">AK111-AL111</f>
        <v>10.629828867271</v>
      </c>
      <c r="AN111" s="35" t="n">
        <f aca="false"> MOD(280.4664567 + 360007.6982779*L111/10 + 0.03032028*L111^2/100 + L111^3/49931000,360)</f>
        <v>28.0713961411748</v>
      </c>
      <c r="AO111" s="32" t="n">
        <f aca="false"> AN111 + (1.9146 - 0.004817*L111 - 0.000014*L111^2)*SIN(Q111)+ (0.019993 - 0.000101*L111)*SIN(2*Q111)+ 0.00029*SIN(3*Q111)</f>
        <v>29.9118276030839</v>
      </c>
      <c r="AP111" s="32" t="n">
        <f aca="false">ACOS(COS(W111-$A$10*AO111)*COS(Y111))/$A$10</f>
        <v>136.703246237304</v>
      </c>
      <c r="AQ111" s="34" t="n">
        <f aca="false">180 - AP111 -0.1468*(1-0.0549*SIN(Q111))*SIN($A$10*AP111)/(1-0.0167*SIN($A$10*AO111))</f>
        <v>43.2006259355352</v>
      </c>
      <c r="AR111" s="64" t="n">
        <f aca="false">SIN($A$10*AI111)</f>
        <v>-0.47626219446093</v>
      </c>
      <c r="AS111" s="64" t="n">
        <f aca="false">COS($A$10*AI111)*SIN($A$10*$B$5) - TAN($A$10*AG111)*COS($A$10*$B$5)</f>
        <v>0.962714189356367</v>
      </c>
      <c r="AT111" s="24" t="n">
        <f aca="false">IF(OR(AND(AR111*AS111&gt;0), AND(AR111&lt;0,AS111&gt;0)), MOD(ATAN2(AS111,AR111)/$A$10+360,360),  ATAN2(AS111,AR111)/$A$10)</f>
        <v>333.678039694969</v>
      </c>
      <c r="AU111" s="39" t="n">
        <f aca="false"> 385000.56 + (-20905355*COS(P111) - 3699111*COS(2*R111-P111) - 2955968*COS(2*R111) - 569925*COS(2*P111) + (1-0.002516*L111)*48888*COS(Q111) - 3149*COS(2*S111)  +246158*COS(2*R111-2*P111) -(1 - 0.002516*L111)*152138*COS(2*R111-Q111-P111) -170733*COS(2*R111+P111) -(1 - 0.002516*L111)*204586*COS(2*R111-Q111) -(1 - 0.002516*L111)*129620*COS(Q111-P111)  + 108743*COS(R111) +(1-0.002516*L111)*104755*COS(Q111+P111) +10321*COS(2*R111-2*S111) +79661*COS(P111-2*S111) -34782*COS(4*R111-P111) -23210*COS(3*P111)  -21636*COS(4*R111-2*P111) +(1 - 0.002516*L111)*24208*COS(2*R111+Q111-P111) +(1 - 0.002516*L111)*30824*COS(2*R111+Q111) -8379*COS(R111-P111) -(1 - 0.002516*L111)*16675*COS(R111+Q111)  -(1 - 0.002516*L111)*12831*COS(2*R111-Q111+P111) -10445*COS(2*R111+2*P111) -11650*COS(4*R111) +14403*COS(2*R111-3*P111) -(1-0.002516*L111)*7003*COS(Q111-2*P111)  + (1 - 0.002516*L111)*10056*COS(2*R111-Q111-2*P111) +6322*COS(R111+P111) -(1 - 0.002516*L111)*(1-0.002516*L111)*9884*COS(2*R111-2*Q111) +(1-0.002516*L111)*5751*COS(Q111+2*P111) - (1-0.002516*L111)^2*4950*COS(2*R111-2*Q111-P111)  +4130*COS(2*R111+P111-2*S111) -(1-0.002516*L111)*3958*COS(4*R111-Q111-P111) +3258*COS(3*R111-P111) +(1 - 0.002516*L111)*2616*COS(2*R111+Q111+P111) -(1 - 0.002516*L111)*1897*COS(4*R111-Q111-2*P111)  -(1-0.002516*L111)^2*2117*COS(2*Q111-P111) +(1-0.002516*L111)^2*2354*COS(2*R111+2*Q111-P111) -1423*COS(4*R111+P111) -1117*COS(4*P111) -(1-0.002516*L111)*1571*COS(4*R111-Q111)  -1739*COS(R111-2*P111) -4421*COS(2*P111-2*S111) +(1-0.002516*L111)^2*1165*COS(2*Q111+P111) +8752*COS(2*R111-P111-2*S111))/1000</f>
        <v>365222.914098194</v>
      </c>
      <c r="AV111" s="54" t="n">
        <f aca="false">ATAN(0.99664719*TAN($A$10*input!$E$2))</f>
        <v>0.871010436227447</v>
      </c>
      <c r="AW111" s="54" t="n">
        <f aca="false">COS(AV111)</f>
        <v>0.644053912545845</v>
      </c>
      <c r="AX111" s="54" t="n">
        <f aca="false">0.99664719*SIN(AV111)</f>
        <v>0.762415269897027</v>
      </c>
      <c r="AY111" s="54" t="n">
        <f aca="false">6378.14/AU111</f>
        <v>0.0174636906771002</v>
      </c>
      <c r="AZ111" s="55" t="n">
        <f aca="false">M111-15*AH111</f>
        <v>-28.4415632387638</v>
      </c>
      <c r="BA111" s="56" t="n">
        <f aca="false">COS($A$10*AG111)*SIN($A$10*AZ111)</f>
        <v>-0.434345505544709</v>
      </c>
      <c r="BB111" s="56" t="n">
        <f aca="false">COS($A$10*AG111)*COS($A$10*AZ111)-AW111*AY111</f>
        <v>0.790666697966885</v>
      </c>
      <c r="BC111" s="56" t="n">
        <f aca="false">SIN($A$10*AG111)-AX111*AY111</f>
        <v>-0.423530999758658</v>
      </c>
      <c r="BD111" s="57" t="n">
        <f aca="false">SQRT(BA111^2+BB111^2+BC111^2)</f>
        <v>0.996588356954522</v>
      </c>
      <c r="BE111" s="58" t="n">
        <f aca="false">AU111*BD111</f>
        <v>363976.903883262</v>
      </c>
    </row>
    <row r="112" customFormat="false" ht="15" hidden="false" customHeight="false" outlineLevel="0" collapsed="false">
      <c r="D112" s="41" t="n">
        <f aca="false">K112-INT(275*E112/9)+IF($A$8="common year",2,1)*INT((E112+9)/12)+30</f>
        <v>21</v>
      </c>
      <c r="E112" s="41" t="n">
        <f aca="false">IF(K112&lt;32,1,INT(9*(IF($A$8="common year",2,1)+K112)/275+0.98))</f>
        <v>4</v>
      </c>
      <c r="F112" s="42" t="n">
        <f aca="false">AM112</f>
        <v>3.43602601913414</v>
      </c>
      <c r="G112" s="60" t="n">
        <f aca="false">F112+1.02/(TAN($A$10*(F112+10.3/(F112+5.11)))*60)</f>
        <v>3.64542947454076</v>
      </c>
      <c r="H112" s="43" t="n">
        <f aca="false">100*(1+COS($A$10*AQ112))/2</f>
        <v>77.4284560456175</v>
      </c>
      <c r="I112" s="43" t="n">
        <f aca="false">IF(AI112&gt;180,AT112-180,AT112+180)</f>
        <v>141.929123804925</v>
      </c>
      <c r="J112" s="61" t="n">
        <f aca="false">$J$2+K111</f>
        <v>2459690.5</v>
      </c>
      <c r="K112" s="21" t="n">
        <v>111</v>
      </c>
      <c r="L112" s="62" t="n">
        <f aca="false">(J112-2451545)/36525</f>
        <v>0.223011635865845</v>
      </c>
      <c r="M112" s="63" t="n">
        <f aca="false">MOD(280.46061837+360.98564736629*(J112-2451545)+0.000387933*L112^2-L112^3/38710000+$B$7,360)</f>
        <v>224.05125977844</v>
      </c>
      <c r="N112" s="30" t="n">
        <f aca="false">0.606433+1336.855225*L112 - INT(0.606433+1336.855225*L112)</f>
        <v>0.740703643052655</v>
      </c>
      <c r="O112" s="35" t="n">
        <f aca="false">22640*SIN(P112)-4586*SIN(P112-2*R112)+2370*SIN(2*R112)+769*SIN(2*P112)-668*SIN(Q112)-412*SIN(2*S112)-212*SIN(2*P112-2*R112)-206*SIN(P112+Q112-2*R112)+192*SIN(P112+2*R112)-165*SIN(Q112-2*R112)-125*SIN(R112)-110*SIN(P112+Q112)+148*SIN(P112-Q112)-55*SIN(2*S112-2*R112)</f>
        <v>3711.57570975946</v>
      </c>
      <c r="P112" s="32" t="n">
        <f aca="false">2*PI()*(0.374897+1325.55241*L112 - INT(0.374897+1325.55241*L112))</f>
        <v>6.21098132932552</v>
      </c>
      <c r="Q112" s="36" t="n">
        <f aca="false">2*PI()*(0.993133+99.997361*L112 - INT(0.993133+99.997361*L112))</f>
        <v>1.84542216013923</v>
      </c>
      <c r="R112" s="36" t="n">
        <f aca="false">2*PI()*(0.827361+1236.853086*L112 - INT(0.827361+1236.853086*L112))</f>
        <v>4.14684597133726</v>
      </c>
      <c r="S112" s="36" t="n">
        <f aca="false">2*PI()*(0.259086+1342.227825*L112 - INT(0.259086+1342.227825*L112))</f>
        <v>3.71656039337724</v>
      </c>
      <c r="T112" s="36" t="n">
        <f aca="false">S112+(O112+412*SIN(2*S112)+541*SIN(Q112))/206264.8062</f>
        <v>3.73890230735573</v>
      </c>
      <c r="U112" s="36" t="n">
        <f aca="false">S112-2*R112</f>
        <v>-4.57713154929727</v>
      </c>
      <c r="V112" s="34" t="n">
        <f aca="false">-526*SIN(U112)+44*SIN(P112+U112)-31*SIN(-P112+U112)-23*SIN(Q112+U112)+11*SIN(-Q112+U112)-25*SIN(-2*P112+S112)+21*SIN(-P112+S112)</f>
        <v>-496.169804951108</v>
      </c>
      <c r="W112" s="36" t="n">
        <f aca="false">2*PI()*(N112+O112/1296000-INT(N112+O112/1296000))</f>
        <v>4.67197247382848</v>
      </c>
      <c r="X112" s="35" t="n">
        <f aca="false">W112*180/PI()</f>
        <v>267.684304751667</v>
      </c>
      <c r="Y112" s="36" t="n">
        <f aca="false">(18520*SIN(T112)+V112)/206264.8062</f>
        <v>-0.0529037808066338</v>
      </c>
      <c r="Z112" s="36" t="n">
        <f aca="false">Y112*180/PI()</f>
        <v>-3.03116336050532</v>
      </c>
      <c r="AA112" s="36" t="n">
        <f aca="false">COS(Y112)*COS(W112)</f>
        <v>-0.0403489736230979</v>
      </c>
      <c r="AB112" s="36" t="n">
        <f aca="false">COS(Y112)*SIN(W112)</f>
        <v>-0.997785428056672</v>
      </c>
      <c r="AC112" s="36" t="n">
        <f aca="false">SIN(Y112)</f>
        <v>-0.0528791063211784</v>
      </c>
      <c r="AD112" s="36" t="n">
        <f aca="false">COS($A$10*(23.4393-46.815*L112/3600))*AB112-SIN($A$10*(23.4393-46.815*L112/3600))*AC112</f>
        <v>-0.894438606222095</v>
      </c>
      <c r="AE112" s="36" t="n">
        <f aca="false">SIN($A$10*(23.4393-46.815*L112/3600))*AB112+COS($A$10*(23.4393-46.815*L112/3600))*AC112</f>
        <v>-0.44536674777877</v>
      </c>
      <c r="AF112" s="36" t="n">
        <f aca="false">SQRT(1-AE112*AE112)</f>
        <v>0.895348233914024</v>
      </c>
      <c r="AG112" s="35" t="n">
        <f aca="false">ATAN(AE112/AF112)/$A$10</f>
        <v>-26.4468055683867</v>
      </c>
      <c r="AH112" s="36" t="n">
        <f aca="false">IF(24*ATAN(AD112/(AA112+AF112))/PI()&gt;0,24*ATAN(AD112/(AA112+AF112))/PI(),24*ATAN(AD112/(AA112+AF112))/PI()+24)</f>
        <v>17.8278056123368</v>
      </c>
      <c r="AI112" s="63" t="n">
        <f aca="false">IF(M112-15*AH112&gt;0,M112-15*AH112,360+M112-15*AH112)</f>
        <v>316.634175593387</v>
      </c>
      <c r="AJ112" s="32" t="n">
        <f aca="false">0.950724+0.051818*COS(P112)+0.009531*COS(2*R112-P112)+0.007843*COS(2*R112)+0.002824*COS(2*P112)+0.000857*COS(2*R112+P112)+0.000533*COS(2*R112-Q112)*(1-0.002495*(J112-2415020)/36525)+0.000401*COS(2*R112-Q112-P112)*(1-0.002495*(J112-2415020)/36525)+0.00032*COS(P112-Q112)*(1-0.002495*(J112-2415020)/36525)-0.000271*COS(R112)</f>
        <v>0.997835863141598</v>
      </c>
      <c r="AK112" s="36" t="n">
        <f aca="false">ASIN(COS($A$10*$B$5)*COS($A$10*AG112)*COS($A$10*AI112)+SIN($A$10*$B$5)*SIN($A$10*AG112))/$A$10</f>
        <v>4.42892783886527</v>
      </c>
      <c r="AL112" s="32" t="n">
        <f aca="false">ASIN((0.9983271+0.0016764*COS($A$10*2*$B$5))*COS($A$10*AK112)*SIN($A$10*AJ112))/$A$10</f>
        <v>0.992901819731125</v>
      </c>
      <c r="AM112" s="32" t="n">
        <f aca="false">AK112-AL112</f>
        <v>3.43602601913414</v>
      </c>
      <c r="AN112" s="35" t="n">
        <f aca="false"> MOD(280.4664567 + 360007.6982779*L112/10 + 0.03032028*L112^2/100 + L112^3/49931000,360)</f>
        <v>29.0570435049813</v>
      </c>
      <c r="AO112" s="32" t="n">
        <f aca="false"> AN112 + (1.9146 - 0.004817*L112 - 0.000014*L112^2)*SIN(Q112)+ (0.019993 - 0.000101*L112)*SIN(2*Q112)+ 0.00029*SIN(3*Q112)</f>
        <v>30.8882399386877</v>
      </c>
      <c r="AP112" s="32" t="n">
        <f aca="false">ACOS(COS(W112-$A$10*AO112)*COS(Y112))/$A$10</f>
        <v>123.151486940986</v>
      </c>
      <c r="AQ112" s="34" t="n">
        <f aca="false">180 - AP112 -0.1468*(1-0.0549*SIN(Q112))*SIN($A$10*AP112)/(1-0.0167*SIN($A$10*AO112))</f>
        <v>56.7310960369867</v>
      </c>
      <c r="AR112" s="64" t="n">
        <f aca="false">SIN($A$10*AI112)</f>
        <v>-0.686654003792582</v>
      </c>
      <c r="AS112" s="64" t="n">
        <f aca="false">COS($A$10*AI112)*SIN($A$10*$B$5) - TAN($A$10*AG112)*COS($A$10*$B$5)</f>
        <v>0.876639639838898</v>
      </c>
      <c r="AT112" s="24" t="n">
        <f aca="false">IF(OR(AND(AR112*AS112&gt;0), AND(AR112&lt;0,AS112&gt;0)), MOD(ATAN2(AS112,AR112)/$A$10+360,360),  ATAN2(AS112,AR112)/$A$10)</f>
        <v>321.929123804925</v>
      </c>
      <c r="AU112" s="39" t="n">
        <f aca="false"> 385000.56 + (-20905355*COS(P112) - 3699111*COS(2*R112-P112) - 2955968*COS(2*R112) - 569925*COS(2*P112) + (1-0.002516*L112)*48888*COS(Q112) - 3149*COS(2*S112)  +246158*COS(2*R112-2*P112) -(1 - 0.002516*L112)*152138*COS(2*R112-Q112-P112) -170733*COS(2*R112+P112) -(1 - 0.002516*L112)*204586*COS(2*R112-Q112) -(1 - 0.002516*L112)*129620*COS(Q112-P112)  + 108743*COS(R112) +(1-0.002516*L112)*104755*COS(Q112+P112) +10321*COS(2*R112-2*S112) +79661*COS(P112-2*S112) -34782*COS(4*R112-P112) -23210*COS(3*P112)  -21636*COS(4*R112-2*P112) +(1 - 0.002516*L112)*24208*COS(2*R112+Q112-P112) +(1 - 0.002516*L112)*30824*COS(2*R112+Q112) -8379*COS(R112-P112) -(1 - 0.002516*L112)*16675*COS(R112+Q112)  -(1 - 0.002516*L112)*12831*COS(2*R112-Q112+P112) -10445*COS(2*R112+2*P112) -11650*COS(4*R112) +14403*COS(2*R112-3*P112) -(1-0.002516*L112)*7003*COS(Q112-2*P112)  + (1 - 0.002516*L112)*10056*COS(2*R112-Q112-2*P112) +6322*COS(R112+P112) -(1 - 0.002516*L112)*(1-0.002516*L112)*9884*COS(2*R112-2*Q112) +(1-0.002516*L112)*5751*COS(Q112+2*P112) - (1-0.002516*L112)^2*4950*COS(2*R112-2*Q112-P112)  +4130*COS(2*R112+P112-2*S112) -(1-0.002516*L112)*3958*COS(4*R112-Q112-P112) +3258*COS(3*R112-P112) +(1 - 0.002516*L112)*2616*COS(2*R112+Q112+P112) -(1 - 0.002516*L112)*1897*COS(4*R112-Q112-2*P112)  -(1-0.002516*L112)^2*2117*COS(2*Q112-P112) +(1-0.002516*L112)^2*2354*COS(2*R112+2*Q112-P112) -1423*COS(4*R112+P112) -1117*COS(4*P112) -(1-0.002516*L112)*1571*COS(4*R112-Q112)  -1739*COS(R112-2*P112) -4421*COS(2*P112-2*S112) +(1-0.002516*L112)^2*1165*COS(2*Q112+P112) +8752*COS(2*R112-P112-2*S112))/1000</f>
        <v>366186.800306061</v>
      </c>
      <c r="AV112" s="54" t="n">
        <f aca="false">ATAN(0.99664719*TAN($A$10*input!$E$2))</f>
        <v>0.871010436227447</v>
      </c>
      <c r="AW112" s="54" t="n">
        <f aca="false">COS(AV112)</f>
        <v>0.644053912545845</v>
      </c>
      <c r="AX112" s="54" t="n">
        <f aca="false">0.99664719*SIN(AV112)</f>
        <v>0.762415269897027</v>
      </c>
      <c r="AY112" s="54" t="n">
        <f aca="false">6378.14/AU112</f>
        <v>0.0174177223063997</v>
      </c>
      <c r="AZ112" s="55" t="n">
        <f aca="false">M112-15*AH112</f>
        <v>-43.3658244066127</v>
      </c>
      <c r="BA112" s="56" t="n">
        <f aca="false">COS($A$10*AG112)*SIN($A$10*AZ112)</f>
        <v>-0.614794449605682</v>
      </c>
      <c r="BB112" s="56" t="n">
        <f aca="false">COS($A$10*AG112)*COS($A$10*AZ112)-AW112*AY112</f>
        <v>0.639686222550949</v>
      </c>
      <c r="BC112" s="56" t="n">
        <f aca="false">SIN($A$10*AG112)-AX112*AY112</f>
        <v>-0.458646285231995</v>
      </c>
      <c r="BD112" s="57" t="n">
        <f aca="false">SQRT(BA112^2+BB112^2+BC112^2)</f>
        <v>0.998762781417372</v>
      </c>
      <c r="BE112" s="58" t="n">
        <f aca="false">AU112*BD112</f>
        <v>365733.747192009</v>
      </c>
    </row>
    <row r="113" customFormat="false" ht="15" hidden="false" customHeight="false" outlineLevel="0" collapsed="false">
      <c r="D113" s="41" t="n">
        <f aca="false">K113-INT(275*E113/9)+IF($A$8="common year",2,1)*INT((E113+9)/12)+30</f>
        <v>22</v>
      </c>
      <c r="E113" s="41" t="n">
        <f aca="false">IF(K113&lt;32,1,INT(9*(IF($A$8="common year",2,1)+K113)/275+0.98))</f>
        <v>4</v>
      </c>
      <c r="F113" s="42" t="n">
        <f aca="false">AM113</f>
        <v>-3.66382077369138</v>
      </c>
      <c r="G113" s="60" t="n">
        <f aca="false">F113+1.02/(TAN($A$10*(F113+10.3/(F113+5.11)))*60)</f>
        <v>-3.38252116957327</v>
      </c>
      <c r="H113" s="43" t="n">
        <f aca="false">100*(1+COS($A$10*AQ113))/2</f>
        <v>66.9957619027258</v>
      </c>
      <c r="I113" s="43" t="n">
        <f aca="false">IF(AI113&gt;180,AT113-180,AT113+180)</f>
        <v>130.42066752886</v>
      </c>
      <c r="J113" s="61" t="n">
        <f aca="false">$J$2+K112</f>
        <v>2459691.5</v>
      </c>
      <c r="K113" s="21" t="n">
        <v>112</v>
      </c>
      <c r="L113" s="62" t="n">
        <f aca="false">(J113-2451545)/36525</f>
        <v>0.223039014373717</v>
      </c>
      <c r="M113" s="63" t="n">
        <f aca="false">MOD(280.46061837+360.98564736629*(J113-2451545)+0.000387933*L113^2-L113^3/38710000+$B$7,360)</f>
        <v>225.036907149479</v>
      </c>
      <c r="N113" s="30" t="n">
        <f aca="false">0.606433+1336.855225*L113 - INT(0.606433+1336.855225*L113)</f>
        <v>0.77730474435316</v>
      </c>
      <c r="O113" s="35" t="n">
        <f aca="false">22640*SIN(P113)-4586*SIN(P113-2*R113)+2370*SIN(2*R113)+769*SIN(2*P113)-668*SIN(Q113)-412*SIN(2*S113)-212*SIN(2*P113-2*R113)-206*SIN(P113+Q113-2*R113)+192*SIN(P113+2*R113)-165*SIN(Q113-2*R113)-125*SIN(R113)-110*SIN(P113+Q113)+148*SIN(P113-Q113)-55*SIN(2*S113-2*R113)</f>
        <v>8079.94687597427</v>
      </c>
      <c r="P113" s="32" t="n">
        <f aca="false">2*PI()*(0.374897+1325.55241*L113 - INT(0.374897+1325.55241*L113))</f>
        <v>0.155823165921749</v>
      </c>
      <c r="Q113" s="36" t="n">
        <f aca="false">2*PI()*(0.993133+99.997361*L113 - INT(0.993133+99.997361*L113))</f>
        <v>1.86262413000621</v>
      </c>
      <c r="R113" s="36" t="n">
        <f aca="false">2*PI()*(0.827361+1236.853086*L113 - INT(0.827361+1236.853086*L113))</f>
        <v>4.35961468145628</v>
      </c>
      <c r="S113" s="36" t="n">
        <f aca="false">2*PI()*(0.259086+1342.227825*L113 - INT(0.259086+1342.227825*L113))</f>
        <v>3.94745611271824</v>
      </c>
      <c r="T113" s="36" t="n">
        <f aca="false">S113+(O113+412*SIN(2*S113)+541*SIN(Q113))/206264.8062</f>
        <v>3.99113650727996</v>
      </c>
      <c r="U113" s="36" t="n">
        <f aca="false">S113-2*R113</f>
        <v>-4.77177325019432</v>
      </c>
      <c r="V113" s="34" t="n">
        <f aca="false">-526*SIN(U113)+44*SIN(P113+U113)-31*SIN(-P113+U113)-23*SIN(Q113+U113)+11*SIN(-Q113+U113)-25*SIN(-2*P113+S113)+21*SIN(-P113+S113)</f>
        <v>-510.899384528163</v>
      </c>
      <c r="W113" s="36" t="n">
        <f aca="false">2*PI()*(N113+O113/1296000-INT(N113+O113/1296000))</f>
        <v>4.92312243680186</v>
      </c>
      <c r="X113" s="35" t="n">
        <f aca="false">W113*180/PI()</f>
        <v>282.074137654908</v>
      </c>
      <c r="Y113" s="36" t="n">
        <f aca="false">(18520*SIN(T113)+V113)/206264.8062</f>
        <v>-0.0699054573625888</v>
      </c>
      <c r="Z113" s="36" t="n">
        <f aca="false">Y113*180/PI()</f>
        <v>-4.00528767180807</v>
      </c>
      <c r="AA113" s="36" t="n">
        <f aca="false">COS(Y113)*COS(W113)</f>
        <v>0.208666294152203</v>
      </c>
      <c r="AB113" s="36" t="n">
        <f aca="false">COS(Y113)*SIN(W113)</f>
        <v>-0.975489394977854</v>
      </c>
      <c r="AC113" s="36" t="n">
        <f aca="false">SIN(Y113)</f>
        <v>-0.0698485359225717</v>
      </c>
      <c r="AD113" s="36" t="n">
        <f aca="false">COS($A$10*(23.4393-46.815*L113/3600))*AB113-SIN($A$10*(23.4393-46.815*L113/3600))*AC113</f>
        <v>-0.867232685318442</v>
      </c>
      <c r="AE113" s="36" t="n">
        <f aca="false">SIN($A$10*(23.4393-46.815*L113/3600))*AB113+COS($A$10*(23.4393-46.815*L113/3600))*AC113</f>
        <v>-0.452068409867523</v>
      </c>
      <c r="AF113" s="36" t="n">
        <f aca="false">SQRT(1-AE113*AE113)</f>
        <v>0.891983269349739</v>
      </c>
      <c r="AG113" s="35" t="n">
        <f aca="false">ATAN(AE113/AF113)/$A$10</f>
        <v>-26.8764686200106</v>
      </c>
      <c r="AH113" s="36" t="n">
        <f aca="false">IF(24*ATAN(AD113/(AA113+AF113))/PI()&gt;0,24*ATAN(AD113/(AA113+AF113))/PI(),24*ATAN(AD113/(AA113+AF113))/PI()+24)</f>
        <v>18.9019243610177</v>
      </c>
      <c r="AI113" s="63" t="n">
        <f aca="false">IF(M113-15*AH113&gt;0,M113-15*AH113,360+M113-15*AH113)</f>
        <v>301.508041734213</v>
      </c>
      <c r="AJ113" s="32" t="n">
        <f aca="false">0.950724+0.051818*COS(P113)+0.009531*COS(2*R113-P113)+0.007843*COS(2*R113)+0.002824*COS(2*P113)+0.000857*COS(2*R113+P113)+0.000533*COS(2*R113-Q113)*(1-0.002495*(J113-2415020)/36525)+0.000401*COS(2*R113-Q113-P113)*(1-0.002495*(J113-2415020)/36525)+0.00032*COS(P113-Q113)*(1-0.002495*(J113-2415020)/36525)-0.000271*COS(R113)</f>
        <v>0.992554591925069</v>
      </c>
      <c r="AK113" s="36" t="n">
        <f aca="false">ASIN(COS($A$10*$B$5)*COS($A$10*AG113)*COS($A$10*AI113)+SIN($A$10*$B$5)*SIN($A$10*AG113))/$A$10</f>
        <v>-2.67429472419829</v>
      </c>
      <c r="AL113" s="32" t="n">
        <f aca="false">ASIN((0.9983271+0.0016764*COS($A$10*2*$B$5))*COS($A$10*AK113)*SIN($A$10*AJ113))/$A$10</f>
        <v>0.989526049493091</v>
      </c>
      <c r="AM113" s="32" t="n">
        <f aca="false">AK113-AL113</f>
        <v>-3.66382077369138</v>
      </c>
      <c r="AN113" s="35" t="n">
        <f aca="false"> MOD(280.4664567 + 360007.6982779*L113/10 + 0.03032028*L113^2/100 + L113^3/49931000,360)</f>
        <v>30.0426908687859</v>
      </c>
      <c r="AO113" s="32" t="n">
        <f aca="false"> AN113 + (1.9146 - 0.004817*L113 - 0.000014*L113^2)*SIN(Q113)+ (0.019993 - 0.000101*L113)*SIN(2*Q113)+ 0.00029*SIN(3*Q113)</f>
        <v>31.8641201439613</v>
      </c>
      <c r="AP113" s="32" t="n">
        <f aca="false">ACOS(COS(W113-$A$10*AO113)*COS(Y113))/$A$10</f>
        <v>109.739637034218</v>
      </c>
      <c r="AQ113" s="34" t="n">
        <f aca="false">180 - AP113 -0.1468*(1-0.0549*SIN(Q113))*SIN($A$10*AP113)/(1-0.0167*SIN($A$10*AO113))</f>
        <v>70.1282899997534</v>
      </c>
      <c r="AR113" s="64" t="n">
        <f aca="false">SIN($A$10*AI113)</f>
        <v>-0.852566820806071</v>
      </c>
      <c r="AS113" s="64" t="n">
        <f aca="false">COS($A$10*AI113)*SIN($A$10*$B$5) - TAN($A$10*AG113)*COS($A$10*$B$5)</f>
        <v>0.726121687957889</v>
      </c>
      <c r="AT113" s="24" t="n">
        <f aca="false">IF(OR(AND(AR113*AS113&gt;0), AND(AR113&lt;0,AS113&gt;0)), MOD(ATAN2(AS113,AR113)/$A$10+360,360),  ATAN2(AS113,AR113)/$A$10)</f>
        <v>310.42066752886</v>
      </c>
      <c r="AU113" s="39" t="n">
        <f aca="false"> 385000.56 + (-20905355*COS(P113) - 3699111*COS(2*R113-P113) - 2955968*COS(2*R113) - 569925*COS(2*P113) + (1-0.002516*L113)*48888*COS(Q113) - 3149*COS(2*S113)  +246158*COS(2*R113-2*P113) -(1 - 0.002516*L113)*152138*COS(2*R113-Q113-P113) -170733*COS(2*R113+P113) -(1 - 0.002516*L113)*204586*COS(2*R113-Q113) -(1 - 0.002516*L113)*129620*COS(Q113-P113)  + 108743*COS(R113) +(1-0.002516*L113)*104755*COS(Q113+P113) +10321*COS(2*R113-2*S113) +79661*COS(P113-2*S113) -34782*COS(4*R113-P113) -23210*COS(3*P113)  -21636*COS(4*R113-2*P113) +(1 - 0.002516*L113)*24208*COS(2*R113+Q113-P113) +(1 - 0.002516*L113)*30824*COS(2*R113+Q113) -8379*COS(R113-P113) -(1 - 0.002516*L113)*16675*COS(R113+Q113)  -(1 - 0.002516*L113)*12831*COS(2*R113-Q113+P113) -10445*COS(2*R113+2*P113) -11650*COS(4*R113) +14403*COS(2*R113-3*P113) -(1-0.002516*L113)*7003*COS(Q113-2*P113)  + (1 - 0.002516*L113)*10056*COS(2*R113-Q113-2*P113) +6322*COS(R113+P113) -(1 - 0.002516*L113)*(1-0.002516*L113)*9884*COS(2*R113-2*Q113) +(1-0.002516*L113)*5751*COS(Q113+2*P113) - (1-0.002516*L113)^2*4950*COS(2*R113-2*Q113-P113)  +4130*COS(2*R113+P113-2*S113) -(1-0.002516*L113)*3958*COS(4*R113-Q113-P113) +3258*COS(3*R113-P113) +(1 - 0.002516*L113)*2616*COS(2*R113+Q113+P113) -(1 - 0.002516*L113)*1897*COS(4*R113-Q113-2*P113)  -(1-0.002516*L113)^2*2117*COS(2*Q113-P113) +(1-0.002516*L113)^2*2354*COS(2*R113+2*Q113-P113) -1423*COS(4*R113+P113) -1117*COS(4*P113) -(1-0.002516*L113)*1571*COS(4*R113-Q113)  -1739*COS(R113-2*P113) -4421*COS(2*P113-2*S113) +(1-0.002516*L113)^2*1165*COS(2*Q113+P113) +8752*COS(2*R113-P113-2*S113))/1000</f>
        <v>368067.429615489</v>
      </c>
      <c r="AV113" s="54" t="n">
        <f aca="false">ATAN(0.99664719*TAN($A$10*input!$E$2))</f>
        <v>0.871010436227447</v>
      </c>
      <c r="AW113" s="54" t="n">
        <f aca="false">COS(AV113)</f>
        <v>0.644053912545845</v>
      </c>
      <c r="AX113" s="54" t="n">
        <f aca="false">0.99664719*SIN(AV113)</f>
        <v>0.762415269897027</v>
      </c>
      <c r="AY113" s="54" t="n">
        <f aca="false">6378.14/AU113</f>
        <v>0.0173287269853328</v>
      </c>
      <c r="AZ113" s="55" t="n">
        <f aca="false">M113-15*AH113</f>
        <v>-58.4919582657866</v>
      </c>
      <c r="BA113" s="56" t="n">
        <f aca="false">COS($A$10*AG113)*SIN($A$10*AZ113)</f>
        <v>-0.760475340161713</v>
      </c>
      <c r="BB113" s="56" t="n">
        <f aca="false">COS($A$10*AG113)*COS($A$10*AZ113)-AW113*AY113</f>
        <v>0.455006084481136</v>
      </c>
      <c r="BC113" s="56" t="n">
        <f aca="false">SIN($A$10*AG113)-AX113*AY113</f>
        <v>-0.465280095929018</v>
      </c>
      <c r="BD113" s="57" t="n">
        <f aca="false">SQRT(BA113^2+BB113^2+BC113^2)</f>
        <v>1.00091900150644</v>
      </c>
      <c r="BE113" s="58" t="n">
        <f aca="false">AU113*BD113</f>
        <v>368405.684137776</v>
      </c>
    </row>
    <row r="114" customFormat="false" ht="15" hidden="false" customHeight="false" outlineLevel="0" collapsed="false">
      <c r="D114" s="41" t="n">
        <f aca="false">K114-INT(275*E114/9)+IF($A$8="common year",2,1)*INT((E114+9)/12)+30</f>
        <v>23</v>
      </c>
      <c r="E114" s="41" t="n">
        <f aca="false">IF(K114&lt;32,1,INT(9*(IF($A$8="common year",2,1)+K114)/275+0.98))</f>
        <v>4</v>
      </c>
      <c r="F114" s="42" t="n">
        <f aca="false">AM114</f>
        <v>-10.3556897614442</v>
      </c>
      <c r="G114" s="60" t="n">
        <f aca="false">F114+1.02/(TAN($A$10*(F114+10.3/(F114+5.11)))*60)</f>
        <v>-10.4335334224411</v>
      </c>
      <c r="H114" s="43" t="n">
        <f aca="false">100*(1+COS($A$10*AQ114))/2</f>
        <v>55.799506379687</v>
      </c>
      <c r="I114" s="43" t="n">
        <f aca="false">IF(AI114&gt;180,AT114-180,AT114+180)</f>
        <v>118.84393242316</v>
      </c>
      <c r="J114" s="61" t="n">
        <f aca="false">$J$2+K113</f>
        <v>2459692.5</v>
      </c>
      <c r="K114" s="21" t="n">
        <v>113</v>
      </c>
      <c r="L114" s="62" t="n">
        <f aca="false">(J114-2451545)/36525</f>
        <v>0.223066392881588</v>
      </c>
      <c r="M114" s="63" t="n">
        <f aca="false">MOD(280.46061837+360.98564736629*(J114-2451545)+0.000387933*L114^2-L114^3/38710000+$B$7,360)</f>
        <v>226.022554520518</v>
      </c>
      <c r="N114" s="30" t="n">
        <f aca="false">0.606433+1336.855225*L114 - INT(0.606433+1336.855225*L114)</f>
        <v>0.813905845653608</v>
      </c>
      <c r="O114" s="35" t="n">
        <f aca="false">22640*SIN(P114)-4586*SIN(P114-2*R114)+2370*SIN(2*R114)+769*SIN(2*P114)-668*SIN(Q114)-412*SIN(2*S114)-212*SIN(2*P114-2*R114)-206*SIN(P114+Q114-2*R114)+192*SIN(P114+2*R114)-165*SIN(Q114-2*R114)-125*SIN(R114)-110*SIN(P114+Q114)+148*SIN(P114-Q114)-55*SIN(2*S114-2*R114)</f>
        <v>11843.3705250703</v>
      </c>
      <c r="P114" s="32" t="n">
        <f aca="false">2*PI()*(0.374897+1325.55241*L114 - INT(0.374897+1325.55241*L114))</f>
        <v>0.383850309697566</v>
      </c>
      <c r="Q114" s="36" t="n">
        <f aca="false">2*PI()*(0.993133+99.997361*L114 - INT(0.993133+99.997361*L114))</f>
        <v>1.8798260998732</v>
      </c>
      <c r="R114" s="36" t="n">
        <f aca="false">2*PI()*(0.827361+1236.853086*L114 - INT(0.827361+1236.853086*L114))</f>
        <v>4.5723833915753</v>
      </c>
      <c r="S114" s="36" t="n">
        <f aca="false">2*PI()*(0.259086+1342.227825*L114 - INT(0.259086+1342.227825*L114))</f>
        <v>4.17835183205924</v>
      </c>
      <c r="T114" s="36" t="n">
        <f aca="false">S114+(O114+412*SIN(2*S114)+541*SIN(Q114))/206264.8062</f>
        <v>4.24001900695688</v>
      </c>
      <c r="U114" s="36" t="n">
        <f aca="false">S114-2*R114</f>
        <v>-4.96641495109136</v>
      </c>
      <c r="V114" s="34" t="n">
        <f aca="false">-526*SIN(U114)+44*SIN(P114+U114)-31*SIN(-P114+U114)-23*SIN(Q114+U114)+11*SIN(-Q114+U114)-25*SIN(-2*P114+S114)+21*SIN(-P114+S114)</f>
        <v>-501.113332627399</v>
      </c>
      <c r="W114" s="36" t="n">
        <f aca="false">2*PI()*(N114+O114/1296000-INT(N114+O114/1296000))</f>
        <v>5.17133953144836</v>
      </c>
      <c r="X114" s="35" t="n">
        <f aca="false">W114*180/PI()</f>
        <v>296.295929581152</v>
      </c>
      <c r="Y114" s="36" t="n">
        <f aca="false">(18520*SIN(T114)+V114)/206264.8062</f>
        <v>-0.0823845519113344</v>
      </c>
      <c r="Z114" s="36" t="n">
        <f aca="false">Y114*180/PI()</f>
        <v>-4.7202871215959</v>
      </c>
      <c r="AA114" s="36" t="n">
        <f aca="false">COS(Y114)*COS(W114)</f>
        <v>0.441504958012173</v>
      </c>
      <c r="AB114" s="36" t="n">
        <f aca="false">COS(Y114)*SIN(W114)</f>
        <v>-0.893477195676591</v>
      </c>
      <c r="AC114" s="36" t="n">
        <f aca="false">SIN(Y114)</f>
        <v>-0.0822913899297146</v>
      </c>
      <c r="AD114" s="36" t="n">
        <f aca="false">COS($A$10*(23.4393-46.815*L114/3600))*AB114-SIN($A$10*(23.4393-46.815*L114/3600))*AC114</f>
        <v>-0.787037413061375</v>
      </c>
      <c r="AE114" s="36" t="n">
        <f aca="false">SIN($A$10*(23.4393-46.815*L114/3600))*AB114+COS($A$10*(23.4393-46.815*L114/3600))*AC114</f>
        <v>-0.430865968129681</v>
      </c>
      <c r="AF114" s="36" t="n">
        <f aca="false">SQRT(1-AE114*AE114)</f>
        <v>0.902415933762072</v>
      </c>
      <c r="AG114" s="35" t="n">
        <f aca="false">ATAN(AE114/AF114)/$A$10</f>
        <v>-25.5225292132988</v>
      </c>
      <c r="AH114" s="36" t="n">
        <f aca="false">IF(24*ATAN(AD114/(AA114+AF114))/PI()&gt;0,24*ATAN(AD114/(AA114+AF114))/PI(),24*ATAN(AD114/(AA114+AF114))/PI()+24)</f>
        <v>19.9527433220329</v>
      </c>
      <c r="AI114" s="63" t="n">
        <f aca="false">IF(M114-15*AH114&gt;0,M114-15*AH114,360+M114-15*AH114)</f>
        <v>286.731404690024</v>
      </c>
      <c r="AJ114" s="32" t="n">
        <f aca="false">0.950724+0.051818*COS(P114)+0.009531*COS(2*R114-P114)+0.007843*COS(2*R114)+0.002824*COS(2*P114)+0.000857*COS(2*R114+P114)+0.000533*COS(2*R114-Q114)*(1-0.002495*(J114-2415020)/36525)+0.000401*COS(2*R114-Q114-P114)*(1-0.002495*(J114-2415020)/36525)+0.00032*COS(P114-Q114)*(1-0.002495*(J114-2415020)/36525)-0.000271*COS(R114)</f>
        <v>0.985593664369332</v>
      </c>
      <c r="AK114" s="36" t="n">
        <f aca="false">ASIN(COS($A$10*$B$5)*COS($A$10*AG114)*COS($A$10*AI114)+SIN($A$10*$B$5)*SIN($A$10*AG114))/$A$10</f>
        <v>-9.38520019642726</v>
      </c>
      <c r="AL114" s="32" t="n">
        <f aca="false">ASIN((0.9983271+0.0016764*COS($A$10*2*$B$5))*COS($A$10*AK114)*SIN($A$10*AJ114))/$A$10</f>
        <v>0.970489565016952</v>
      </c>
      <c r="AM114" s="32" t="n">
        <f aca="false">AK114-AL114</f>
        <v>-10.3556897614442</v>
      </c>
      <c r="AN114" s="35" t="n">
        <f aca="false"> MOD(280.4664567 + 360007.6982779*L114/10 + 0.03032028*L114^2/100 + L114^3/49931000,360)</f>
        <v>31.0283382325943</v>
      </c>
      <c r="AO114" s="32" t="n">
        <f aca="false"> AN114 + (1.9146 - 0.004817*L114 - 0.000014*L114^2)*SIN(Q114)+ (0.019993 - 0.000101*L114)*SIN(2*Q114)+ 0.00029*SIN(3*Q114)</f>
        <v>32.8394715970568</v>
      </c>
      <c r="AP114" s="32" t="n">
        <f aca="false">ACOS(COS(W114-$A$10*AO114)*COS(Y114))/$A$10</f>
        <v>96.5212518610545</v>
      </c>
      <c r="AQ114" s="34" t="n">
        <f aca="false">180 - AP114 -0.1468*(1-0.0549*SIN(Q114))*SIN($A$10*AP114)/(1-0.0167*SIN($A$10*AO114))</f>
        <v>83.3392626239136</v>
      </c>
      <c r="AR114" s="64" t="n">
        <f aca="false">SIN($A$10*AI114)</f>
        <v>-0.957664844293018</v>
      </c>
      <c r="AS114" s="64" t="n">
        <f aca="false">COS($A$10*AI114)*SIN($A$10*$B$5) - TAN($A$10*AG114)*COS($A$10*$B$5)</f>
        <v>0.527437340049921</v>
      </c>
      <c r="AT114" s="24" t="n">
        <f aca="false">IF(OR(AND(AR114*AS114&gt;0), AND(AR114&lt;0,AS114&gt;0)), MOD(ATAN2(AS114,AR114)/$A$10+360,360),  ATAN2(AS114,AR114)/$A$10)</f>
        <v>298.84393242316</v>
      </c>
      <c r="AU114" s="39" t="n">
        <f aca="false"> 385000.56 + (-20905355*COS(P114) - 3699111*COS(2*R114-P114) - 2955968*COS(2*R114) - 569925*COS(2*P114) + (1-0.002516*L114)*48888*COS(Q114) - 3149*COS(2*S114)  +246158*COS(2*R114-2*P114) -(1 - 0.002516*L114)*152138*COS(2*R114-Q114-P114) -170733*COS(2*R114+P114) -(1 - 0.002516*L114)*204586*COS(2*R114-Q114) -(1 - 0.002516*L114)*129620*COS(Q114-P114)  + 108743*COS(R114) +(1-0.002516*L114)*104755*COS(Q114+P114) +10321*COS(2*R114-2*S114) +79661*COS(P114-2*S114) -34782*COS(4*R114-P114) -23210*COS(3*P114)  -21636*COS(4*R114-2*P114) +(1 - 0.002516*L114)*24208*COS(2*R114+Q114-P114) +(1 - 0.002516*L114)*30824*COS(2*R114+Q114) -8379*COS(R114-P114) -(1 - 0.002516*L114)*16675*COS(R114+Q114)  -(1 - 0.002516*L114)*12831*COS(2*R114-Q114+P114) -10445*COS(2*R114+2*P114) -11650*COS(4*R114) +14403*COS(2*R114-3*P114) -(1-0.002516*L114)*7003*COS(Q114-2*P114)  + (1 - 0.002516*L114)*10056*COS(2*R114-Q114-2*P114) +6322*COS(R114+P114) -(1 - 0.002516*L114)*(1-0.002516*L114)*9884*COS(2*R114-2*Q114) +(1-0.002516*L114)*5751*COS(Q114+2*P114) - (1-0.002516*L114)^2*4950*COS(2*R114-2*Q114-P114)  +4130*COS(2*R114+P114-2*S114) -(1-0.002516*L114)*3958*COS(4*R114-Q114-P114) +3258*COS(3*R114-P114) +(1 - 0.002516*L114)*2616*COS(2*R114+Q114+P114) -(1 - 0.002516*L114)*1897*COS(4*R114-Q114-2*P114)  -(1-0.002516*L114)^2*2117*COS(2*Q114-P114) +(1-0.002516*L114)^2*2354*COS(2*R114+2*Q114-P114) -1423*COS(4*R114+P114) -1117*COS(4*P114) -(1-0.002516*L114)*1571*COS(4*R114-Q114)  -1739*COS(R114-2*P114) -4421*COS(2*P114-2*S114) +(1-0.002516*L114)^2*1165*COS(2*Q114+P114) +8752*COS(2*R114-P114-2*S114))/1000</f>
        <v>370619.095044173</v>
      </c>
      <c r="AV114" s="54" t="n">
        <f aca="false">ATAN(0.99664719*TAN($A$10*input!$E$2))</f>
        <v>0.871010436227447</v>
      </c>
      <c r="AW114" s="54" t="n">
        <f aca="false">COS(AV114)</f>
        <v>0.644053912545845</v>
      </c>
      <c r="AX114" s="54" t="n">
        <f aca="false">0.99664719*SIN(AV114)</f>
        <v>0.762415269897027</v>
      </c>
      <c r="AY114" s="54" t="n">
        <f aca="false">6378.14/AU114</f>
        <v>0.0172094208994812</v>
      </c>
      <c r="AZ114" s="55" t="n">
        <f aca="false">M114-15*AH114</f>
        <v>-73.2685953099765</v>
      </c>
      <c r="BA114" s="56" t="n">
        <f aca="false">COS($A$10*AG114)*SIN($A$10*AZ114)</f>
        <v>-0.864212014693793</v>
      </c>
      <c r="BB114" s="56" t="n">
        <f aca="false">COS($A$10*AG114)*COS($A$10*AZ114)-AW114*AY114</f>
        <v>0.248708643761739</v>
      </c>
      <c r="BC114" s="56" t="n">
        <f aca="false">SIN($A$10*AG114)-AX114*AY114</f>
        <v>-0.443986693409531</v>
      </c>
      <c r="BD114" s="57" t="n">
        <f aca="false">SQRT(BA114^2+BB114^2+BC114^2)</f>
        <v>1.00291703532627</v>
      </c>
      <c r="BE114" s="58" t="n">
        <f aca="false">AU114*BD114</f>
        <v>371700.204037008</v>
      </c>
    </row>
    <row r="115" customFormat="false" ht="15" hidden="false" customHeight="false" outlineLevel="0" collapsed="false">
      <c r="D115" s="41" t="n">
        <f aca="false">K115-INT(275*E115/9)+IF($A$8="common year",2,1)*INT((E115+9)/12)+30</f>
        <v>24</v>
      </c>
      <c r="E115" s="41" t="n">
        <f aca="false">IF(K115&lt;32,1,INT(9*(IF($A$8="common year",2,1)+K115)/275+0.98))</f>
        <v>4</v>
      </c>
      <c r="F115" s="42" t="n">
        <f aca="false">AM115</f>
        <v>-16.367715561879</v>
      </c>
      <c r="G115" s="60" t="n">
        <f aca="false">F115+1.02/(TAN($A$10*(F115+10.3/(F115+5.11)))*60)</f>
        <v>-16.4223545687096</v>
      </c>
      <c r="H115" s="43" t="n">
        <f aca="false">100*(1+COS($A$10*AQ115))/2</f>
        <v>44.4786184463153</v>
      </c>
      <c r="I115" s="43" t="n">
        <f aca="false">IF(AI115&gt;180,AT115-180,AT115+180)</f>
        <v>106.93412577109</v>
      </c>
      <c r="J115" s="61" t="n">
        <f aca="false">$J$2+K114</f>
        <v>2459693.5</v>
      </c>
      <c r="K115" s="21" t="n">
        <v>114</v>
      </c>
      <c r="L115" s="62" t="n">
        <f aca="false">(J115-2451545)/36525</f>
        <v>0.223093771389459</v>
      </c>
      <c r="M115" s="63" t="n">
        <f aca="false">MOD(280.46061837+360.98564736629*(J115-2451545)+0.000387933*L115^2-L115^3/38710000+$B$7,360)</f>
        <v>227.008201891556</v>
      </c>
      <c r="N115" s="30" t="n">
        <f aca="false">0.606433+1336.855225*L115 - INT(0.606433+1336.855225*L115)</f>
        <v>0.850506946954113</v>
      </c>
      <c r="O115" s="35" t="n">
        <f aca="false">22640*SIN(P115)-4586*SIN(P115-2*R115)+2370*SIN(2*R115)+769*SIN(2*P115)-668*SIN(Q115)-412*SIN(2*S115)-212*SIN(2*P115-2*R115)-206*SIN(P115+Q115-2*R115)+192*SIN(P115+2*R115)-165*SIN(Q115-2*R115)-125*SIN(R115)-110*SIN(P115+Q115)+148*SIN(P115-Q115)-55*SIN(2*S115-2*R115)</f>
        <v>14895.4794807278</v>
      </c>
      <c r="P115" s="32" t="n">
        <f aca="false">2*PI()*(0.374897+1325.55241*L115 - INT(0.374897+1325.55241*L115))</f>
        <v>0.611877453473384</v>
      </c>
      <c r="Q115" s="36" t="n">
        <f aca="false">2*PI()*(0.993133+99.997361*L115 - INT(0.993133+99.997361*L115))</f>
        <v>1.8970280697402</v>
      </c>
      <c r="R115" s="36" t="n">
        <f aca="false">2*PI()*(0.827361+1236.853086*L115 - INT(0.827361+1236.853086*L115))</f>
        <v>4.78515210169433</v>
      </c>
      <c r="S115" s="36" t="n">
        <f aca="false">2*PI()*(0.259086+1342.227825*L115 - INT(0.259086+1342.227825*L115))</f>
        <v>4.40924755139989</v>
      </c>
      <c r="T115" s="36" t="n">
        <f aca="false">S115+(O115+412*SIN(2*S115)+541*SIN(Q115))/206264.8062</f>
        <v>4.48508554892344</v>
      </c>
      <c r="U115" s="36" t="n">
        <f aca="false">S115-2*R115</f>
        <v>-5.16105665198876</v>
      </c>
      <c r="V115" s="34" t="n">
        <f aca="false">-526*SIN(U115)+44*SIN(P115+U115)-31*SIN(-P115+U115)-23*SIN(Q115+U115)+11*SIN(-Q115+U115)-25*SIN(-2*P115+S115)+21*SIN(-P115+S115)</f>
        <v>-467.877818410385</v>
      </c>
      <c r="W115" s="36" t="n">
        <f aca="false">2*PI()*(N115+O115/1296000-INT(N115+O115/1296000))</f>
        <v>5.41610807514568</v>
      </c>
      <c r="X115" s="35" t="n">
        <f aca="false">W115*180/PI()</f>
        <v>310.320134092572</v>
      </c>
      <c r="Y115" s="36" t="n">
        <f aca="false">(18520*SIN(T115)+V115)/206264.8062</f>
        <v>-0.0897462806204045</v>
      </c>
      <c r="Z115" s="36" t="n">
        <f aca="false">Y115*180/PI()</f>
        <v>-5.14208310654591</v>
      </c>
      <c r="AA115" s="36" t="n">
        <f aca="false">COS(Y115)*COS(W115)</f>
        <v>0.644453665217525</v>
      </c>
      <c r="AB115" s="36" t="n">
        <f aca="false">COS(Y115)*SIN(W115)</f>
        <v>-0.759372556600925</v>
      </c>
      <c r="AC115" s="36" t="n">
        <f aca="false">SIN(Y115)</f>
        <v>-0.0896258537982965</v>
      </c>
      <c r="AD115" s="36" t="n">
        <f aca="false">COS($A$10*(23.4393-46.815*L115/3600))*AB115-SIN($A$10*(23.4393-46.815*L115/3600))*AC115</f>
        <v>-0.661078979853443</v>
      </c>
      <c r="AE115" s="36" t="n">
        <f aca="false">SIN($A$10*(23.4393-46.815*L115/3600))*AB115+COS($A$10*(23.4393-46.815*L115/3600))*AC115</f>
        <v>-0.384257798598324</v>
      </c>
      <c r="AF115" s="36" t="n">
        <f aca="false">SQRT(1-AE115*AE115)</f>
        <v>0.923225835977509</v>
      </c>
      <c r="AG115" s="35" t="n">
        <f aca="false">ATAN(AE115/AF115)/$A$10</f>
        <v>-22.5976712214332</v>
      </c>
      <c r="AH115" s="36" t="n">
        <f aca="false">IF(24*ATAN(AD115/(AA115+AF115))/PI()&gt;0,24*ATAN(AD115/(AA115+AF115))/PI(),24*ATAN(AD115/(AA115+AF115))/PI()+24)</f>
        <v>20.9513603953746</v>
      </c>
      <c r="AI115" s="63" t="n">
        <f aca="false">IF(M115-15*AH115&gt;0,M115-15*AH115,360+M115-15*AH115)</f>
        <v>272.737795960937</v>
      </c>
      <c r="AJ115" s="32" t="n">
        <f aca="false">0.950724+0.051818*COS(P115)+0.009531*COS(2*R115-P115)+0.007843*COS(2*R115)+0.002824*COS(2*P115)+0.000857*COS(2*R115+P115)+0.000533*COS(2*R115-Q115)*(1-0.002495*(J115-2415020)/36525)+0.000401*COS(2*R115-Q115-P115)*(1-0.002495*(J115-2415020)/36525)+0.00032*COS(P115-Q115)*(1-0.002495*(J115-2415020)/36525)-0.000271*COS(R115)</f>
        <v>0.977655562432766</v>
      </c>
      <c r="AK115" s="36" t="n">
        <f aca="false">ASIN(COS($A$10*$B$5)*COS($A$10*AG115)*COS($A$10*AI115)+SIN($A$10*$B$5)*SIN($A$10*AG115))/$A$10</f>
        <v>-15.4271397433446</v>
      </c>
      <c r="AL115" s="32" t="n">
        <f aca="false">ASIN((0.9983271+0.0016764*COS($A$10*2*$B$5))*COS($A$10*AK115)*SIN($A$10*AJ115))/$A$10</f>
        <v>0.940575818534326</v>
      </c>
      <c r="AM115" s="32" t="n">
        <f aca="false">AK115-AL115</f>
        <v>-16.367715561879</v>
      </c>
      <c r="AN115" s="35" t="n">
        <f aca="false"> MOD(280.4664567 + 360007.6982779*L115/10 + 0.03032028*L115^2/100 + L115^3/49931000,360)</f>
        <v>32.0139855964007</v>
      </c>
      <c r="AO115" s="32" t="n">
        <f aca="false"> AN115 + (1.9146 - 0.004817*L115 - 0.000014*L115^2)*SIN(Q115)+ (0.019993 - 0.000101*L115)*SIN(2*Q115)+ 0.00029*SIN(3*Q115)</f>
        <v>33.814297819841</v>
      </c>
      <c r="AP115" s="32" t="n">
        <f aca="false">ACOS(COS(W115-$A$10*AO115)*COS(Y115))/$A$10</f>
        <v>83.5204588561282</v>
      </c>
      <c r="AQ115" s="34" t="n">
        <f aca="false">180 - AP115 -0.1468*(1-0.0549*SIN(Q115))*SIN($A$10*AP115)/(1-0.0167*SIN($A$10*AO115))</f>
        <v>96.3399672054824</v>
      </c>
      <c r="AR115" s="64" t="n">
        <f aca="false">SIN($A$10*AI115)</f>
        <v>-0.998858583199574</v>
      </c>
      <c r="AS115" s="64" t="n">
        <f aca="false">COS($A$10*AI115)*SIN($A$10*$B$5) - TAN($A$10*AG115)*COS($A$10*$B$5)</f>
        <v>0.304126402837906</v>
      </c>
      <c r="AT115" s="24" t="n">
        <f aca="false">IF(OR(AND(AR115*AS115&gt;0), AND(AR115&lt;0,AS115&gt;0)), MOD(ATAN2(AS115,AR115)/$A$10+360,360),  ATAN2(AS115,AR115)/$A$10)</f>
        <v>286.93412577109</v>
      </c>
      <c r="AU115" s="39" t="n">
        <f aca="false"> 385000.56 + (-20905355*COS(P115) - 3699111*COS(2*R115-P115) - 2955968*COS(2*R115) - 569925*COS(2*P115) + (1-0.002516*L115)*48888*COS(Q115) - 3149*COS(2*S115)  +246158*COS(2*R115-2*P115) -(1 - 0.002516*L115)*152138*COS(2*R115-Q115-P115) -170733*COS(2*R115+P115) -(1 - 0.002516*L115)*204586*COS(2*R115-Q115) -(1 - 0.002516*L115)*129620*COS(Q115-P115)  + 108743*COS(R115) +(1-0.002516*L115)*104755*COS(Q115+P115) +10321*COS(2*R115-2*S115) +79661*COS(P115-2*S115) -34782*COS(4*R115-P115) -23210*COS(3*P115)  -21636*COS(4*R115-2*P115) +(1 - 0.002516*L115)*24208*COS(2*R115+Q115-P115) +(1 - 0.002516*L115)*30824*COS(2*R115+Q115) -8379*COS(R115-P115) -(1 - 0.002516*L115)*16675*COS(R115+Q115)  -(1 - 0.002516*L115)*12831*COS(2*R115-Q115+P115) -10445*COS(2*R115+2*P115) -11650*COS(4*R115) +14403*COS(2*R115-3*P115) -(1-0.002516*L115)*7003*COS(Q115-2*P115)  + (1 - 0.002516*L115)*10056*COS(2*R115-Q115-2*P115) +6322*COS(R115+P115) -(1 - 0.002516*L115)*(1-0.002516*L115)*9884*COS(2*R115-2*Q115) +(1-0.002516*L115)*5751*COS(Q115+2*P115) - (1-0.002516*L115)^2*4950*COS(2*R115-2*Q115-P115)  +4130*COS(2*R115+P115-2*S115) -(1-0.002516*L115)*3958*COS(4*R115-Q115-P115) +3258*COS(3*R115-P115) +(1 - 0.002516*L115)*2616*COS(2*R115+Q115+P115) -(1 - 0.002516*L115)*1897*COS(4*R115-Q115-2*P115)  -(1-0.002516*L115)^2*2117*COS(2*Q115-P115) +(1-0.002516*L115)^2*2354*COS(2*R115+2*Q115-P115) -1423*COS(4*R115+P115) -1117*COS(4*P115) -(1-0.002516*L115)*1571*COS(4*R115-Q115)  -1739*COS(R115-2*P115) -4421*COS(2*P115-2*S115) +(1-0.002516*L115)^2*1165*COS(2*Q115+P115) +8752*COS(2*R115-P115-2*S115))/1000</f>
        <v>373611.043312435</v>
      </c>
      <c r="AV115" s="54" t="n">
        <f aca="false">ATAN(0.99664719*TAN($A$10*input!$E$2))</f>
        <v>0.871010436227447</v>
      </c>
      <c r="AW115" s="54" t="n">
        <f aca="false">COS(AV115)</f>
        <v>0.644053912545845</v>
      </c>
      <c r="AX115" s="54" t="n">
        <f aca="false">0.99664719*SIN(AV115)</f>
        <v>0.762415269897027</v>
      </c>
      <c r="AY115" s="54" t="n">
        <f aca="false">6378.14/AU115</f>
        <v>0.0170716045849486</v>
      </c>
      <c r="AZ115" s="55" t="n">
        <f aca="false">M115-15*AH115</f>
        <v>-87.2622040390627</v>
      </c>
      <c r="BA115" s="56" t="n">
        <f aca="false">COS($A$10*AG115)*SIN($A$10*AZ115)</f>
        <v>-0.922172050497736</v>
      </c>
      <c r="BB115" s="56" t="n">
        <f aca="false">COS($A$10*AG115)*COS($A$10*AZ115)-AW115*AY115</f>
        <v>0.0331031918294305</v>
      </c>
      <c r="BC115" s="56" t="n">
        <f aca="false">SIN($A$10*AG115)-AX115*AY115</f>
        <v>-0.397273450615533</v>
      </c>
      <c r="BD115" s="57" t="n">
        <f aca="false">SQRT(BA115^2+BB115^2+BC115^2)</f>
        <v>1.00465083814849</v>
      </c>
      <c r="BE115" s="58" t="n">
        <f aca="false">AU115*BD115</f>
        <v>375348.64780537</v>
      </c>
    </row>
    <row r="116" customFormat="false" ht="15" hidden="false" customHeight="false" outlineLevel="0" collapsed="false">
      <c r="D116" s="41" t="n">
        <f aca="false">K116-INT(275*E116/9)+IF($A$8="common year",2,1)*INT((E116+9)/12)+30</f>
        <v>25</v>
      </c>
      <c r="E116" s="41" t="n">
        <f aca="false">IF(K116&lt;32,1,INT(9*(IF($A$8="common year",2,1)+K116)/275+0.98))</f>
        <v>4</v>
      </c>
      <c r="F116" s="42" t="n">
        <f aca="false">AM116</f>
        <v>-21.4562813140335</v>
      </c>
      <c r="G116" s="60" t="n">
        <f aca="false">F116+1.02/(TAN($A$10*(F116+10.3/(F116+5.11)))*60)</f>
        <v>-21.4981758029422</v>
      </c>
      <c r="H116" s="43" t="n">
        <f aca="false">100*(1+COS($A$10*AQ116))/2</f>
        <v>33.6173446687807</v>
      </c>
      <c r="I116" s="43" t="n">
        <f aca="false">IF(AI116&gt;180,AT116-180,AT116+180)</f>
        <v>94.5019656044898</v>
      </c>
      <c r="J116" s="61" t="n">
        <f aca="false">$J$2+K115</f>
        <v>2459694.5</v>
      </c>
      <c r="K116" s="21" t="n">
        <v>115</v>
      </c>
      <c r="L116" s="62" t="n">
        <f aca="false">(J116-2451545)/36525</f>
        <v>0.223121149897331</v>
      </c>
      <c r="M116" s="63" t="n">
        <f aca="false">MOD(280.46061837+360.98564736629*(J116-2451545)+0.000387933*L116^2-L116^3/38710000+$B$7,360)</f>
        <v>227.99384926213</v>
      </c>
      <c r="N116" s="30" t="n">
        <f aca="false">0.606433+1336.855225*L116 - INT(0.606433+1336.855225*L116)</f>
        <v>0.887108048254618</v>
      </c>
      <c r="O116" s="35" t="n">
        <f aca="false">22640*SIN(P116)-4586*SIN(P116-2*R116)+2370*SIN(2*R116)+769*SIN(2*P116)-668*SIN(Q116)-412*SIN(2*S116)-212*SIN(2*P116-2*R116)-206*SIN(P116+Q116-2*R116)+192*SIN(P116+2*R116)-165*SIN(Q116-2*R116)-125*SIN(R116)-110*SIN(P116+Q116)+148*SIN(P116-Q116)-55*SIN(2*S116-2*R116)</f>
        <v>17184.3220776417</v>
      </c>
      <c r="P116" s="32" t="n">
        <f aca="false">2*PI()*(0.374897+1325.55241*L116 - INT(0.374897+1325.55241*L116))</f>
        <v>0.839904597249202</v>
      </c>
      <c r="Q116" s="36" t="n">
        <f aca="false">2*PI()*(0.993133+99.997361*L116 - INT(0.993133+99.997361*L116))</f>
        <v>1.91423003960719</v>
      </c>
      <c r="R116" s="36" t="n">
        <f aca="false">2*PI()*(0.827361+1236.853086*L116 - INT(0.827361+1236.853086*L116))</f>
        <v>4.99792081181335</v>
      </c>
      <c r="S116" s="36" t="n">
        <f aca="false">2*PI()*(0.259086+1342.227825*L116 - INT(0.259086+1342.227825*L116))</f>
        <v>4.6401432707409</v>
      </c>
      <c r="T116" s="36" t="n">
        <f aca="false">S116+(O116+412*SIN(2*S116)+541*SIN(Q116))/206264.8062</f>
        <v>4.72621250238406</v>
      </c>
      <c r="U116" s="36" t="n">
        <f aca="false">S116-2*R116</f>
        <v>-5.35569835288581</v>
      </c>
      <c r="V116" s="34" t="n">
        <f aca="false">-526*SIN(U116)+44*SIN(P116+U116)-31*SIN(-P116+U116)-23*SIN(Q116+U116)+11*SIN(-Q116+U116)-25*SIN(-2*P116+S116)+21*SIN(-P116+S116)</f>
        <v>-413.750129387104</v>
      </c>
      <c r="W116" s="36" t="n">
        <f aca="false">2*PI()*(N116+O116/1296000-INT(N116+O116/1296000))</f>
        <v>5.65717619911251</v>
      </c>
      <c r="X116" s="35" t="n">
        <f aca="false">W116*180/PI()</f>
        <v>324.132320171007</v>
      </c>
      <c r="Y116" s="36" t="n">
        <f aca="false">(18520*SIN(T116)+V116)/206264.8062</f>
        <v>-0.0917848323965925</v>
      </c>
      <c r="Z116" s="36" t="n">
        <f aca="false">Y116*180/PI()</f>
        <v>-5.25888351964038</v>
      </c>
      <c r="AA116" s="36" t="n">
        <f aca="false">COS(Y116)*COS(W116)</f>
        <v>0.806961203450249</v>
      </c>
      <c r="AB116" s="36" t="n">
        <f aca="false">COS(Y116)*SIN(W116)</f>
        <v>-0.583449047698952</v>
      </c>
      <c r="AC116" s="36" t="n">
        <f aca="false">SIN(Y116)</f>
        <v>-0.0916560137978519</v>
      </c>
      <c r="AD116" s="36" t="n">
        <f aca="false">COS($A$10*(23.4393-46.815*L116/3600))*AB116-SIN($A$10*(23.4393-46.815*L116/3600))*AC116</f>
        <v>-0.498861328595861</v>
      </c>
      <c r="AE116" s="36" t="n">
        <f aca="false">SIN($A$10*(23.4393-46.815*L116/3600))*AB116+COS($A$10*(23.4393-46.815*L116/3600))*AC116</f>
        <v>-0.316150266420415</v>
      </c>
      <c r="AF116" s="36" t="n">
        <f aca="false">SQRT(1-AE116*AE116)</f>
        <v>0.948709127732152</v>
      </c>
      <c r="AG116" s="35" t="n">
        <f aca="false">ATAN(AE116/AF116)/$A$10</f>
        <v>-18.430268294291</v>
      </c>
      <c r="AH116" s="36" t="n">
        <f aca="false">IF(24*ATAN(AD116/(AA116+AF116))/PI()&gt;0,24*ATAN(AD116/(AA116+AF116))/PI(),24*ATAN(AD116/(AA116+AF116))/PI()+24)</f>
        <v>21.8850500376835</v>
      </c>
      <c r="AI116" s="63" t="n">
        <f aca="false">IF(M116-15*AH116&gt;0,M116-15*AH116,360+M116-15*AH116)</f>
        <v>259.718098696877</v>
      </c>
      <c r="AJ116" s="32" t="n">
        <f aca="false">0.950724+0.051818*COS(P116)+0.009531*COS(2*R116-P116)+0.007843*COS(2*R116)+0.002824*COS(2*P116)+0.000857*COS(2*R116+P116)+0.000533*COS(2*R116-Q116)*(1-0.002495*(J116-2415020)/36525)+0.000401*COS(2*R116-Q116-P116)*(1-0.002495*(J116-2415020)/36525)+0.00032*COS(P116-Q116)*(1-0.002495*(J116-2415020)/36525)-0.000271*COS(R116)</f>
        <v>0.969268947838248</v>
      </c>
      <c r="AK116" s="36" t="n">
        <f aca="false">ASIN(COS($A$10*$B$5)*COS($A$10*AG116)*COS($A$10*AI116)+SIN($A$10*$B$5)*SIN($A$10*AG116))/$A$10</f>
        <v>-20.5504814520959</v>
      </c>
      <c r="AL116" s="32" t="n">
        <f aca="false">ASIN((0.9983271+0.0016764*COS($A$10*2*$B$5))*COS($A$10*AK116)*SIN($A$10*AJ116))/$A$10</f>
        <v>0.905799861937599</v>
      </c>
      <c r="AM116" s="32" t="n">
        <f aca="false">AK116-AL116</f>
        <v>-21.4562813140335</v>
      </c>
      <c r="AN116" s="35" t="n">
        <f aca="false"> MOD(280.4664567 + 360007.6982779*L116/10 + 0.03032028*L116^2/100 + L116^3/49931000,360)</f>
        <v>32.9996329602109</v>
      </c>
      <c r="AO116" s="32" t="n">
        <f aca="false"> AN116 + (1.9146 - 0.004817*L116 - 0.000014*L116^2)*SIN(Q116)+ (0.019993 - 0.000101*L116)*SIN(2*Q116)+ 0.00029*SIN(3*Q116)</f>
        <v>34.7886024763537</v>
      </c>
      <c r="AP116" s="32" t="n">
        <f aca="false">ACOS(COS(W116-$A$10*AO116)*COS(Y116))/$A$10</f>
        <v>70.7409247845277</v>
      </c>
      <c r="AQ116" s="34" t="n">
        <f aca="false">180 - AP116 -0.1468*(1-0.0549*SIN(Q116))*SIN($A$10*AP116)/(1-0.0167*SIN($A$10*AO116))</f>
        <v>109.126390369442</v>
      </c>
      <c r="AR116" s="64" t="n">
        <f aca="false">SIN($A$10*AI116)</f>
        <v>-0.98394146922056</v>
      </c>
      <c r="AS116" s="64" t="n">
        <f aca="false">COS($A$10*AI116)*SIN($A$10*$B$5) - TAN($A$10*AG116)*COS($A$10*$B$5)</f>
        <v>0.0774718375760573</v>
      </c>
      <c r="AT116" s="24" t="n">
        <f aca="false">IF(OR(AND(AR116*AS116&gt;0), AND(AR116&lt;0,AS116&gt;0)), MOD(ATAN2(AS116,AR116)/$A$10+360,360),  ATAN2(AS116,AR116)/$A$10)</f>
        <v>274.50196560449</v>
      </c>
      <c r="AU116" s="39" t="n">
        <f aca="false"> 385000.56 + (-20905355*COS(P116) - 3699111*COS(2*R116-P116) - 2955968*COS(2*R116) - 569925*COS(2*P116) + (1-0.002516*L116)*48888*COS(Q116) - 3149*COS(2*S116)  +246158*COS(2*R116-2*P116) -(1 - 0.002516*L116)*152138*COS(2*R116-Q116-P116) -170733*COS(2*R116+P116) -(1 - 0.002516*L116)*204586*COS(2*R116-Q116) -(1 - 0.002516*L116)*129620*COS(Q116-P116)  + 108743*COS(R116) +(1-0.002516*L116)*104755*COS(Q116+P116) +10321*COS(2*R116-2*S116) +79661*COS(P116-2*S116) -34782*COS(4*R116-P116) -23210*COS(3*P116)  -21636*COS(4*R116-2*P116) +(1 - 0.002516*L116)*24208*COS(2*R116+Q116-P116) +(1 - 0.002516*L116)*30824*COS(2*R116+Q116) -8379*COS(R116-P116) -(1 - 0.002516*L116)*16675*COS(R116+Q116)  -(1 - 0.002516*L116)*12831*COS(2*R116-Q116+P116) -10445*COS(2*R116+2*P116) -11650*COS(4*R116) +14403*COS(2*R116-3*P116) -(1-0.002516*L116)*7003*COS(Q116-2*P116)  + (1 - 0.002516*L116)*10056*COS(2*R116-Q116-2*P116) +6322*COS(R116+P116) -(1 - 0.002516*L116)*(1-0.002516*L116)*9884*COS(2*R116-2*Q116) +(1-0.002516*L116)*5751*COS(Q116+2*P116) - (1-0.002516*L116)^2*4950*COS(2*R116-2*Q116-P116)  +4130*COS(2*R116+P116-2*S116) -(1-0.002516*L116)*3958*COS(4*R116-Q116-P116) +3258*COS(3*R116-P116) +(1 - 0.002516*L116)*2616*COS(2*R116+Q116+P116) -(1 - 0.002516*L116)*1897*COS(4*R116-Q116-2*P116)  -(1-0.002516*L116)^2*2117*COS(2*Q116-P116) +(1-0.002516*L116)^2*2354*COS(2*R116+2*Q116-P116) -1423*COS(4*R116+P116) -1117*COS(4*P116) -(1-0.002516*L116)*1571*COS(4*R116-Q116)  -1739*COS(R116-2*P116) -4421*COS(2*P116-2*S116) +(1-0.002516*L116)^2*1165*COS(2*Q116+P116) +8752*COS(2*R116-P116-2*S116))/1000</f>
        <v>376857.875642974</v>
      </c>
      <c r="AV116" s="54" t="n">
        <f aca="false">ATAN(0.99664719*TAN($A$10*input!$E$2))</f>
        <v>0.871010436227447</v>
      </c>
      <c r="AW116" s="54" t="n">
        <f aca="false">COS(AV116)</f>
        <v>0.644053912545845</v>
      </c>
      <c r="AX116" s="54" t="n">
        <f aca="false">0.99664719*SIN(AV116)</f>
        <v>0.762415269897027</v>
      </c>
      <c r="AY116" s="54" t="n">
        <f aca="false">6378.14/AU116</f>
        <v>0.0169245235730259</v>
      </c>
      <c r="AZ116" s="55" t="n">
        <f aca="false">M116-15*AH116</f>
        <v>-100.281901303123</v>
      </c>
      <c r="BA116" s="56" t="n">
        <f aca="false">COS($A$10*AG116)*SIN($A$10*AZ116)</f>
        <v>-0.93347425300373</v>
      </c>
      <c r="BB116" s="56" t="n">
        <f aca="false">COS($A$10*AG116)*COS($A$10*AZ116)-AW116*AY116</f>
        <v>-0.180236740043265</v>
      </c>
      <c r="BC116" s="56" t="n">
        <f aca="false">SIN($A$10*AG116)-AX116*AY116</f>
        <v>-0.329053781628222</v>
      </c>
      <c r="BD116" s="57" t="n">
        <f aca="false">SQRT(BA116^2+BB116^2+BC116^2)</f>
        <v>1.00604962834153</v>
      </c>
      <c r="BE116" s="58" t="n">
        <f aca="false">AU116*BD116</f>
        <v>379137.725728192</v>
      </c>
    </row>
    <row r="117" customFormat="false" ht="15" hidden="false" customHeight="false" outlineLevel="0" collapsed="false">
      <c r="D117" s="41" t="n">
        <f aca="false">K117-INT(275*E117/9)+IF($A$8="common year",2,1)*INT((E117+9)/12)+30</f>
        <v>26</v>
      </c>
      <c r="E117" s="41" t="n">
        <f aca="false">IF(K117&lt;32,1,INT(9*(IF($A$8="common year",2,1)+K117)/275+0.98))</f>
        <v>4</v>
      </c>
      <c r="F117" s="42" t="n">
        <f aca="false">AM117</f>
        <v>-25.4037959445052</v>
      </c>
      <c r="G117" s="60" t="n">
        <f aca="false">F117+1.02/(TAN($A$10*(F117+10.3/(F117+5.11)))*60)</f>
        <v>-25.438788434749</v>
      </c>
      <c r="H117" s="43" t="n">
        <f aca="false">100*(1+COS($A$10*AQ117))/2</f>
        <v>23.7234819693595</v>
      </c>
      <c r="I117" s="43" t="n">
        <f aca="false">IF(AI117&gt;180,AT117-180,AT117+180)</f>
        <v>81.4755877757232</v>
      </c>
      <c r="J117" s="61" t="n">
        <f aca="false">$J$2+K116</f>
        <v>2459695.5</v>
      </c>
      <c r="K117" s="21" t="n">
        <v>116</v>
      </c>
      <c r="L117" s="62" t="n">
        <f aca="false">(J117-2451545)/36525</f>
        <v>0.223148528405202</v>
      </c>
      <c r="M117" s="63" t="n">
        <f aca="false">MOD(280.46061837+360.98564736629*(J117-2451545)+0.000387933*L117^2-L117^3/38710000+$B$7,360)</f>
        <v>228.979496633168</v>
      </c>
      <c r="N117" s="30" t="n">
        <f aca="false">0.606433+1336.855225*L117 - INT(0.606433+1336.855225*L117)</f>
        <v>0.923709149555066</v>
      </c>
      <c r="O117" s="35" t="n">
        <f aca="false">22640*SIN(P117)-4586*SIN(P117-2*R117)+2370*SIN(2*R117)+769*SIN(2*P117)-668*SIN(Q117)-412*SIN(2*S117)-212*SIN(2*P117-2*R117)-206*SIN(P117+Q117-2*R117)+192*SIN(P117+2*R117)-165*SIN(Q117-2*R117)-125*SIN(R117)-110*SIN(P117+Q117)+148*SIN(P117-Q117)-55*SIN(2*S117-2*R117)</f>
        <v>18686.7729081835</v>
      </c>
      <c r="P117" s="32" t="n">
        <f aca="false">2*PI()*(0.374897+1325.55241*L117 - INT(0.374897+1325.55241*L117))</f>
        <v>1.06793174102466</v>
      </c>
      <c r="Q117" s="36" t="n">
        <f aca="false">2*PI()*(0.993133+99.997361*L117 - INT(0.993133+99.997361*L117))</f>
        <v>1.9314320094742</v>
      </c>
      <c r="R117" s="36" t="n">
        <f aca="false">2*PI()*(0.827361+1236.853086*L117 - INT(0.827361+1236.853086*L117))</f>
        <v>5.21068952193238</v>
      </c>
      <c r="S117" s="36" t="n">
        <f aca="false">2*PI()*(0.259086+1342.227825*L117 - INT(0.259086+1342.227825*L117))</f>
        <v>4.8710389900819</v>
      </c>
      <c r="T117" s="36" t="n">
        <f aca="false">S117+(O117+412*SIN(2*S117)+541*SIN(Q117))/206264.8062</f>
        <v>4.96346593949764</v>
      </c>
      <c r="U117" s="36" t="n">
        <f aca="false">S117-2*R117</f>
        <v>-5.55034005378285</v>
      </c>
      <c r="V117" s="34" t="n">
        <f aca="false">-526*SIN(U117)+44*SIN(P117+U117)-31*SIN(-P117+U117)-23*SIN(Q117+U117)+11*SIN(-Q117+U117)-25*SIN(-2*P117+S117)+21*SIN(-P117+S117)</f>
        <v>-342.44783423242</v>
      </c>
      <c r="W117" s="36" t="n">
        <f aca="false">2*PI()*(N117+O117/1296000-INT(N117+O117/1296000))</f>
        <v>5.89443178820848</v>
      </c>
      <c r="X117" s="35" t="n">
        <f aca="false">W117*180/PI()</f>
        <v>337.726064092097</v>
      </c>
      <c r="Y117" s="36" t="n">
        <f aca="false">(18520*SIN(T117)+V117)/206264.8062</f>
        <v>-0.088632478191036</v>
      </c>
      <c r="Z117" s="36" t="n">
        <f aca="false">Y117*180/PI()</f>
        <v>-5.07826692813168</v>
      </c>
      <c r="AA117" s="36" t="n">
        <f aca="false">COS(Y117)*COS(W117)</f>
        <v>0.9217498475949</v>
      </c>
      <c r="AB117" s="36" t="n">
        <f aca="false">COS(Y117)*SIN(W117)</f>
        <v>-0.377547416218318</v>
      </c>
      <c r="AC117" s="36" t="n">
        <f aca="false">SIN(Y117)</f>
        <v>-0.0885164784977933</v>
      </c>
      <c r="AD117" s="36" t="n">
        <f aca="false">COS($A$10*(23.4393-46.815*L117/3600))*AB117-SIN($A$10*(23.4393-46.815*L117/3600))*AC117</f>
        <v>-0.311194831912852</v>
      </c>
      <c r="AE117" s="36" t="n">
        <f aca="false">SIN($A$10*(23.4393-46.815*L117/3600))*AB117+COS($A$10*(23.4393-46.815*L117/3600))*AC117</f>
        <v>-0.231376306154086</v>
      </c>
      <c r="AF117" s="36" t="n">
        <f aca="false">SQRT(1-AE117*AE117)</f>
        <v>0.972864330187149</v>
      </c>
      <c r="AG117" s="35" t="n">
        <f aca="false">ATAN(AE117/AF117)/$A$10</f>
        <v>-13.3781141868742</v>
      </c>
      <c r="AH117" s="36" t="n">
        <f aca="false">IF(24*ATAN(AD117/(AA117+AF117))/PI()&gt;0,24*ATAN(AD117/(AA117+AF117))/PI(),24*ATAN(AD117/(AA117+AF117))/PI()+24)</f>
        <v>22.7563095647683</v>
      </c>
      <c r="AI117" s="63" t="n">
        <f aca="false">IF(M117-15*AH117&gt;0,M117-15*AH117,360+M117-15*AH117)</f>
        <v>247.634853161644</v>
      </c>
      <c r="AJ117" s="32" t="n">
        <f aca="false">0.950724+0.051818*COS(P117)+0.009531*COS(2*R117-P117)+0.007843*COS(2*R117)+0.002824*COS(2*P117)+0.000857*COS(2*R117+P117)+0.000533*COS(2*R117-Q117)*(1-0.002495*(J117-2415020)/36525)+0.000401*COS(2*R117-Q117-P117)*(1-0.002495*(J117-2415020)/36525)+0.00032*COS(P117-Q117)*(1-0.002495*(J117-2415020)/36525)-0.000271*COS(R117)</f>
        <v>0.960753782522035</v>
      </c>
      <c r="AK117" s="36" t="n">
        <f aca="false">ASIN(COS($A$10*$B$5)*COS($A$10*AG117)*COS($A$10*AI117)+SIN($A$10*$B$5)*SIN($A$10*AG117))/$A$10</f>
        <v>-24.53149009437</v>
      </c>
      <c r="AL117" s="32" t="n">
        <f aca="false">ASIN((0.9983271+0.0016764*COS($A$10*2*$B$5))*COS($A$10*AK117)*SIN($A$10*AJ117))/$A$10</f>
        <v>0.872305850135252</v>
      </c>
      <c r="AM117" s="32" t="n">
        <f aca="false">AK117-AL117</f>
        <v>-25.4037959445052</v>
      </c>
      <c r="AN117" s="35" t="n">
        <f aca="false"> MOD(280.4664567 + 360007.6982779*L117/10 + 0.03032028*L117^2/100 + L117^3/49931000,360)</f>
        <v>33.9852803240174</v>
      </c>
      <c r="AO117" s="32" t="n">
        <f aca="false"> AN117 + (1.9146 - 0.004817*L117 - 0.000014*L117^2)*SIN(Q117)+ (0.019993 - 0.000101*L117)*SIN(2*Q117)+ 0.00029*SIN(3*Q117)</f>
        <v>35.7623893711956</v>
      </c>
      <c r="AP117" s="32" t="n">
        <f aca="false">ACOS(COS(W117-$A$10*AO117)*COS(Y117))/$A$10</f>
        <v>58.1765547757473</v>
      </c>
      <c r="AQ117" s="34" t="n">
        <f aca="false">180 - AP117 -0.1468*(1-0.0549*SIN(Q117))*SIN($A$10*AP117)/(1-0.0167*SIN($A$10*AO117))</f>
        <v>121.703953733723</v>
      </c>
      <c r="AR117" s="64" t="n">
        <f aca="false">SIN($A$10*AI117)</f>
        <v>-0.924777668576475</v>
      </c>
      <c r="AS117" s="64" t="n">
        <f aca="false">COS($A$10*AI117)*SIN($A$10*$B$5) - TAN($A$10*AG117)*COS($A$10*$B$5)</f>
        <v>-0.138611798456258</v>
      </c>
      <c r="AT117" s="24" t="n">
        <f aca="false">IF(OR(AND(AR117*AS117&gt;0), AND(AR117&lt;0,AS117&gt;0)), MOD(ATAN2(AS117,AR117)/$A$10+360,360),  ATAN2(AS117,AR117)/$A$10)</f>
        <v>261.475587775723</v>
      </c>
      <c r="AU117" s="39" t="n">
        <f aca="false"> 385000.56 + (-20905355*COS(P117) - 3699111*COS(2*R117-P117) - 2955968*COS(2*R117) - 569925*COS(2*P117) + (1-0.002516*L117)*48888*COS(Q117) - 3149*COS(2*S117)  +246158*COS(2*R117-2*P117) -(1 - 0.002516*L117)*152138*COS(2*R117-Q117-P117) -170733*COS(2*R117+P117) -(1 - 0.002516*L117)*204586*COS(2*R117-Q117) -(1 - 0.002516*L117)*129620*COS(Q117-P117)  + 108743*COS(R117) +(1-0.002516*L117)*104755*COS(Q117+P117) +10321*COS(2*R117-2*S117) +79661*COS(P117-2*S117) -34782*COS(4*R117-P117) -23210*COS(3*P117)  -21636*COS(4*R117-2*P117) +(1 - 0.002516*L117)*24208*COS(2*R117+Q117-P117) +(1 - 0.002516*L117)*30824*COS(2*R117+Q117) -8379*COS(R117-P117) -(1 - 0.002516*L117)*16675*COS(R117+Q117)  -(1 - 0.002516*L117)*12831*COS(2*R117-Q117+P117) -10445*COS(2*R117+2*P117) -11650*COS(4*R117) +14403*COS(2*R117-3*P117) -(1-0.002516*L117)*7003*COS(Q117-2*P117)  + (1 - 0.002516*L117)*10056*COS(2*R117-Q117-2*P117) +6322*COS(R117+P117) -(1 - 0.002516*L117)*(1-0.002516*L117)*9884*COS(2*R117-2*Q117) +(1-0.002516*L117)*5751*COS(Q117+2*P117) - (1-0.002516*L117)^2*4950*COS(2*R117-2*Q117-P117)  +4130*COS(2*R117+P117-2*S117) -(1-0.002516*L117)*3958*COS(4*R117-Q117-P117) +3258*COS(3*R117-P117) +(1 - 0.002516*L117)*2616*COS(2*R117+Q117+P117) -(1 - 0.002516*L117)*1897*COS(4*R117-Q117-2*P117)  -(1-0.002516*L117)^2*2117*COS(2*Q117-P117) +(1-0.002516*L117)^2*2354*COS(2*R117+2*Q117-P117) -1423*COS(4*R117+P117) -1117*COS(4*P117) -(1-0.002516*L117)*1571*COS(4*R117-Q117)  -1739*COS(R117-2*P117) -4421*COS(2*P117-2*S117) +(1-0.002516*L117)^2*1165*COS(2*Q117+P117) +8752*COS(2*R117-P117-2*S117))/1000</f>
        <v>380231.293284112</v>
      </c>
      <c r="AV117" s="54" t="n">
        <f aca="false">ATAN(0.99664719*TAN($A$10*input!$E$2))</f>
        <v>0.871010436227447</v>
      </c>
      <c r="AW117" s="54" t="n">
        <f aca="false">COS(AV117)</f>
        <v>0.644053912545845</v>
      </c>
      <c r="AX117" s="54" t="n">
        <f aca="false">0.99664719*SIN(AV117)</f>
        <v>0.762415269897027</v>
      </c>
      <c r="AY117" s="54" t="n">
        <f aca="false">6378.14/AU117</f>
        <v>0.0167743689503068</v>
      </c>
      <c r="AZ117" s="55" t="n">
        <f aca="false">M117-15*AH117</f>
        <v>-112.365146838356</v>
      </c>
      <c r="BA117" s="56" t="n">
        <f aca="false">COS($A$10*AG117)*SIN($A$10*AZ117)</f>
        <v>-0.899683207111686</v>
      </c>
      <c r="BB117" s="56" t="n">
        <f aca="false">COS($A$10*AG117)*COS($A$10*AZ117)-AW117*AY117</f>
        <v>-0.380986163441534</v>
      </c>
      <c r="BC117" s="56" t="n">
        <f aca="false">SIN($A$10*AG117)-AX117*AY117</f>
        <v>-0.244165341184687</v>
      </c>
      <c r="BD117" s="57" t="n">
        <f aca="false">SQRT(BA117^2+BB117^2+BC117^2)</f>
        <v>1.00707350463037</v>
      </c>
      <c r="BE117" s="58" t="n">
        <f aca="false">AU117*BD117</f>
        <v>382920.86109777</v>
      </c>
    </row>
    <row r="118" customFormat="false" ht="15" hidden="false" customHeight="false" outlineLevel="0" collapsed="false">
      <c r="D118" s="41" t="n">
        <f aca="false">K118-INT(275*E118/9)+IF($A$8="common year",2,1)*INT((E118+9)/12)+30</f>
        <v>27</v>
      </c>
      <c r="E118" s="41" t="n">
        <f aca="false">IF(K118&lt;32,1,INT(9*(IF($A$8="common year",2,1)+K118)/275+0.98))</f>
        <v>4</v>
      </c>
      <c r="F118" s="42" t="n">
        <f aca="false">AM118</f>
        <v>-28.0357707625008</v>
      </c>
      <c r="G118" s="60" t="n">
        <f aca="false">F118+1.02/(TAN($A$10*(F118+10.3/(F118+5.11)))*60)</f>
        <v>-28.0671003634386</v>
      </c>
      <c r="H118" s="43" t="n">
        <f aca="false">100*(1+COS($A$10*AQ118))/2</f>
        <v>15.2178787522335</v>
      </c>
      <c r="I118" s="43" t="n">
        <f aca="false">IF(AI118&gt;180,AT118-180,AT118+180)</f>
        <v>67.9413747728181</v>
      </c>
      <c r="J118" s="61" t="n">
        <f aca="false">$J$2+K117</f>
        <v>2459696.5</v>
      </c>
      <c r="K118" s="21" t="n">
        <v>117</v>
      </c>
      <c r="L118" s="62" t="n">
        <f aca="false">(J118-2451545)/36525</f>
        <v>0.223175906913073</v>
      </c>
      <c r="M118" s="63" t="n">
        <f aca="false">MOD(280.46061837+360.98564736629*(J118-2451545)+0.000387933*L118^2-L118^3/38710000+$B$7,360)</f>
        <v>229.965144004673</v>
      </c>
      <c r="N118" s="30" t="n">
        <f aca="false">0.606433+1336.855225*L118 - INT(0.606433+1336.855225*L118)</f>
        <v>0.960310250855571</v>
      </c>
      <c r="O118" s="35" t="n">
        <f aca="false">22640*SIN(P118)-4586*SIN(P118-2*R118)+2370*SIN(2*R118)+769*SIN(2*P118)-668*SIN(Q118)-412*SIN(2*S118)-212*SIN(2*P118-2*R118)-206*SIN(P118+Q118-2*R118)+192*SIN(P118+2*R118)-165*SIN(Q118-2*R118)-125*SIN(R118)-110*SIN(P118+Q118)+148*SIN(P118-Q118)-55*SIN(2*S118-2*R118)</f>
        <v>19387.4742769844</v>
      </c>
      <c r="P118" s="32" t="n">
        <f aca="false">2*PI()*(0.374897+1325.55241*L118 - INT(0.374897+1325.55241*L118))</f>
        <v>1.29595888480048</v>
      </c>
      <c r="Q118" s="36" t="n">
        <f aca="false">2*PI()*(0.993133+99.997361*L118 - INT(0.993133+99.997361*L118))</f>
        <v>1.94863397934118</v>
      </c>
      <c r="R118" s="36" t="n">
        <f aca="false">2*PI()*(0.827361+1236.853086*L118 - INT(0.827361+1236.853086*L118))</f>
        <v>5.42345823205104</v>
      </c>
      <c r="S118" s="36" t="n">
        <f aca="false">2*PI()*(0.259086+1342.227825*L118 - INT(0.259086+1342.227825*L118))</f>
        <v>5.1019347094229</v>
      </c>
      <c r="T118" s="36" t="n">
        <f aca="false">S118+(O118+412*SIN(2*S118)+541*SIN(Q118))/206264.8062</f>
        <v>5.19696221339895</v>
      </c>
      <c r="U118" s="36" t="n">
        <f aca="false">S118-2*R118</f>
        <v>-5.74498175467918</v>
      </c>
      <c r="V118" s="34" t="n">
        <f aca="false">-526*SIN(U118)+44*SIN(P118+U118)-31*SIN(-P118+U118)-23*SIN(Q118+U118)+11*SIN(-Q118+U118)-25*SIN(-2*P118+S118)+21*SIN(-P118+S118)</f>
        <v>-258.409234911747</v>
      </c>
      <c r="W118" s="36" t="n">
        <f aca="false">2*PI()*(N118+O118/1296000-INT(N118+O118/1296000))</f>
        <v>6.12780038622608</v>
      </c>
      <c r="X118" s="35" t="n">
        <f aca="false">W118*180/PI()</f>
        <v>351.09709982939</v>
      </c>
      <c r="Y118" s="36" t="n">
        <f aca="false">(18520*SIN(T118)+V118)/206264.8062</f>
        <v>-0.0807034068942977</v>
      </c>
      <c r="Z118" s="36" t="n">
        <f aca="false">Y118*180/PI()</f>
        <v>-4.62396460737025</v>
      </c>
      <c r="AA118" s="36" t="n">
        <f aca="false">COS(Y118)*COS(W118)</f>
        <v>0.984736493761258</v>
      </c>
      <c r="AB118" s="36" t="n">
        <f aca="false">COS(Y118)*SIN(W118)</f>
        <v>-0.154256687353145</v>
      </c>
      <c r="AC118" s="36" t="n">
        <f aca="false">SIN(Y118)</f>
        <v>-0.0806158313336681</v>
      </c>
      <c r="AD118" s="36" t="n">
        <f aca="false">COS($A$10*(23.4393-46.815*L118/3600))*AB118-SIN($A$10*(23.4393-46.815*L118/3600))*AC118</f>
        <v>-0.109467440922529</v>
      </c>
      <c r="AE118" s="36" t="n">
        <f aca="false">SIN($A$10*(23.4393-46.815*L118/3600))*AB118+COS($A$10*(23.4393-46.815*L118/3600))*AC118</f>
        <v>-0.135317837821393</v>
      </c>
      <c r="AF118" s="36" t="n">
        <f aca="false">SQRT(1-AE118*AE118)</f>
        <v>0.990802242007629</v>
      </c>
      <c r="AG118" s="35" t="n">
        <f aca="false">ATAN(AE118/AF118)/$A$10</f>
        <v>-7.77699930515858</v>
      </c>
      <c r="AH118" s="36" t="n">
        <f aca="false">IF(24*ATAN(AD118/(AA118+AF118))/PI()&gt;0,24*ATAN(AD118/(AA118+AF118))/PI(),24*ATAN(AD118/(AA118+AF118))/PI()+24)</f>
        <v>23.5771202536648</v>
      </c>
      <c r="AI118" s="63" t="n">
        <f aca="false">IF(M118-15*AH118&gt;0,M118-15*AH118,360+M118-15*AH118)</f>
        <v>236.308340199701</v>
      </c>
      <c r="AJ118" s="32" t="n">
        <f aca="false">0.950724+0.051818*COS(P118)+0.009531*COS(2*R118-P118)+0.007843*COS(2*R118)+0.002824*COS(2*P118)+0.000857*COS(2*R118+P118)+0.000533*COS(2*R118-Q118)*(1-0.002495*(J118-2415020)/36525)+0.000401*COS(2*R118-Q118-P118)*(1-0.002495*(J118-2415020)/36525)+0.00032*COS(P118-Q118)*(1-0.002495*(J118-2415020)/36525)-0.000271*COS(R118)</f>
        <v>0.952260055075192</v>
      </c>
      <c r="AK118" s="36" t="n">
        <f aca="false">ASIN(COS($A$10*$B$5)*COS($A$10*AG118)*COS($A$10*AI118)+SIN($A$10*$B$5)*SIN($A$10*AG118))/$A$10</f>
        <v>-27.1904140805502</v>
      </c>
      <c r="AL118" s="32" t="n">
        <f aca="false">ASIN((0.9983271+0.0016764*COS($A$10*2*$B$5))*COS($A$10*AK118)*SIN($A$10*AJ118))/$A$10</f>
        <v>0.845356681950666</v>
      </c>
      <c r="AM118" s="32" t="n">
        <f aca="false">AK118-AL118</f>
        <v>-28.0357707625008</v>
      </c>
      <c r="AN118" s="35" t="n">
        <f aca="false"> MOD(280.4664567 + 360007.6982779*L118/10 + 0.03032028*L118^2/100 + L118^3/49931000,360)</f>
        <v>34.9709276878275</v>
      </c>
      <c r="AO118" s="32" t="n">
        <f aca="false"> AN118 + (1.9146 - 0.004817*L118 - 0.000014*L118^2)*SIN(Q118)+ (0.019993 - 0.000101*L118)*SIN(2*Q118)+ 0.00029*SIN(3*Q118)</f>
        <v>36.7356624479436</v>
      </c>
      <c r="AP118" s="32" t="n">
        <f aca="false">ACOS(COS(W118-$A$10*AO118)*COS(Y118))/$A$10</f>
        <v>45.8206524789747</v>
      </c>
      <c r="AQ118" s="34" t="n">
        <f aca="false">180 - AP118 -0.1468*(1-0.0549*SIN(Q118))*SIN($A$10*AP118)/(1-0.0167*SIN($A$10*AO118))</f>
        <v>134.078432304776</v>
      </c>
      <c r="AR118" s="64" t="n">
        <f aca="false">SIN($A$10*AI118)</f>
        <v>-0.83203487865987</v>
      </c>
      <c r="AS118" s="64" t="n">
        <f aca="false">COS($A$10*AI118)*SIN($A$10*$B$5) - TAN($A$10*AG118)*COS($A$10*$B$5)</f>
        <v>-0.337154632959936</v>
      </c>
      <c r="AT118" s="24" t="n">
        <f aca="false">IF(OR(AND(AR118*AS118&gt;0), AND(AR118&lt;0,AS118&gt;0)), MOD(ATAN2(AS118,AR118)/$A$10+360,360),  ATAN2(AS118,AR118)/$A$10)</f>
        <v>247.941374772818</v>
      </c>
      <c r="AU118" s="39" t="n">
        <f aca="false"> 385000.56 + (-20905355*COS(P118) - 3699111*COS(2*R118-P118) - 2955968*COS(2*R118) - 569925*COS(2*P118) + (1-0.002516*L118)*48888*COS(Q118) - 3149*COS(2*S118)  +246158*COS(2*R118-2*P118) -(1 - 0.002516*L118)*152138*COS(2*R118-Q118-P118) -170733*COS(2*R118+P118) -(1 - 0.002516*L118)*204586*COS(2*R118-Q118) -(1 - 0.002516*L118)*129620*COS(Q118-P118)  + 108743*COS(R118) +(1-0.002516*L118)*104755*COS(Q118+P118) +10321*COS(2*R118-2*S118) +79661*COS(P118-2*S118) -34782*COS(4*R118-P118) -23210*COS(3*P118)  -21636*COS(4*R118-2*P118) +(1 - 0.002516*L118)*24208*COS(2*R118+Q118-P118) +(1 - 0.002516*L118)*30824*COS(2*R118+Q118) -8379*COS(R118-P118) -(1 - 0.002516*L118)*16675*COS(R118+Q118)  -(1 - 0.002516*L118)*12831*COS(2*R118-Q118+P118) -10445*COS(2*R118+2*P118) -11650*COS(4*R118) +14403*COS(2*R118-3*P118) -(1-0.002516*L118)*7003*COS(Q118-2*P118)  + (1 - 0.002516*L118)*10056*COS(2*R118-Q118-2*P118) +6322*COS(R118+P118) -(1 - 0.002516*L118)*(1-0.002516*L118)*9884*COS(2*R118-2*Q118) +(1-0.002516*L118)*5751*COS(Q118+2*P118) - (1-0.002516*L118)^2*4950*COS(2*R118-2*Q118-P118)  +4130*COS(2*R118+P118-2*S118) -(1-0.002516*L118)*3958*COS(4*R118-Q118-P118) +3258*COS(3*R118-P118) +(1 - 0.002516*L118)*2616*COS(2*R118+Q118+P118) -(1 - 0.002516*L118)*1897*COS(4*R118-Q118-2*P118)  -(1-0.002516*L118)^2*2117*COS(2*Q118-P118) +(1-0.002516*L118)^2*2354*COS(2*R118+2*Q118-P118) -1423*COS(4*R118+P118) -1117*COS(4*P118) -(1-0.002516*L118)*1571*COS(4*R118-Q118)  -1739*COS(R118-2*P118) -4421*COS(2*P118-2*S118) +(1-0.002516*L118)^2*1165*COS(2*Q118+P118) +8752*COS(2*R118-P118-2*S118))/1000</f>
        <v>383654.528121979</v>
      </c>
      <c r="AV118" s="54" t="n">
        <f aca="false">ATAN(0.99664719*TAN($A$10*input!$E$2))</f>
        <v>0.871010436227447</v>
      </c>
      <c r="AW118" s="54" t="n">
        <f aca="false">COS(AV118)</f>
        <v>0.644053912545845</v>
      </c>
      <c r="AX118" s="54" t="n">
        <f aca="false">0.99664719*SIN(AV118)</f>
        <v>0.762415269897027</v>
      </c>
      <c r="AY118" s="54" t="n">
        <f aca="false">6378.14/AU118</f>
        <v>0.0166246962631238</v>
      </c>
      <c r="AZ118" s="55" t="n">
        <f aca="false">M118-15*AH118</f>
        <v>-123.691659800299</v>
      </c>
      <c r="BA118" s="56" t="n">
        <f aca="false">COS($A$10*AG118)*SIN($A$10*AZ118)</f>
        <v>-0.824382023204744</v>
      </c>
      <c r="BB118" s="56" t="n">
        <f aca="false">COS($A$10*AG118)*COS($A$10*AZ118)-AW118*AY118</f>
        <v>-0.560328308877882</v>
      </c>
      <c r="BC118" s="56" t="n">
        <f aca="false">SIN($A$10*AG118)-AX118*AY118</f>
        <v>-0.147992760109799</v>
      </c>
      <c r="BD118" s="57" t="n">
        <f aca="false">SQRT(BA118^2+BB118^2+BC118^2)</f>
        <v>1.00770798893231</v>
      </c>
      <c r="BE118" s="58" t="n">
        <f aca="false">AU118*BD118</f>
        <v>386611.732978576</v>
      </c>
    </row>
    <row r="119" customFormat="false" ht="15" hidden="false" customHeight="false" outlineLevel="0" collapsed="false">
      <c r="D119" s="41" t="n">
        <f aca="false">K119-INT(275*E119/9)+IF($A$8="common year",2,1)*INT((E119+9)/12)+30</f>
        <v>28</v>
      </c>
      <c r="E119" s="41" t="n">
        <f aca="false">IF(K119&lt;32,1,INT(9*(IF($A$8="common year",2,1)+K119)/275+0.98))</f>
        <v>4</v>
      </c>
      <c r="F119" s="42" t="n">
        <f aca="false">AM119</f>
        <v>-29.2543943740969</v>
      </c>
      <c r="G119" s="60" t="n">
        <f aca="false">F119+1.02/(TAN($A$10*(F119+10.3/(F119+5.11)))*60)</f>
        <v>-29.2842215318733</v>
      </c>
      <c r="H119" s="43" t="n">
        <f aca="false">100*(1+COS($A$10*AQ119))/2</f>
        <v>8.4262225877886</v>
      </c>
      <c r="I119" s="43" t="n">
        <f aca="false">IF(AI119&gt;180,AT119-180,AT119+180)</f>
        <v>54.1502194737375</v>
      </c>
      <c r="J119" s="61" t="n">
        <f aca="false">$J$2+K118</f>
        <v>2459697.5</v>
      </c>
      <c r="K119" s="21" t="n">
        <v>118</v>
      </c>
      <c r="L119" s="62" t="n">
        <f aca="false">(J119-2451545)/36525</f>
        <v>0.223203285420945</v>
      </c>
      <c r="M119" s="63" t="n">
        <f aca="false">MOD(280.46061837+360.98564736629*(J119-2451545)+0.000387933*L119^2-L119^3/38710000+$B$7,360)</f>
        <v>230.950791375712</v>
      </c>
      <c r="N119" s="30" t="n">
        <f aca="false">0.606433+1336.855225*L119 - INT(0.606433+1336.855225*L119)</f>
        <v>0.996911352156019</v>
      </c>
      <c r="O119" s="35" t="n">
        <f aca="false">22640*SIN(P119)-4586*SIN(P119-2*R119)+2370*SIN(2*R119)+769*SIN(2*P119)-668*SIN(Q119)-412*SIN(2*S119)-212*SIN(2*P119-2*R119)-206*SIN(P119+Q119-2*R119)+192*SIN(P119+2*R119)-165*SIN(Q119-2*R119)-125*SIN(R119)-110*SIN(P119+Q119)+148*SIN(P119-Q119)-55*SIN(2*S119-2*R119)</f>
        <v>19269.2133846312</v>
      </c>
      <c r="P119" s="32" t="n">
        <f aca="false">2*PI()*(0.374897+1325.55241*L119 - INT(0.374897+1325.55241*L119))</f>
        <v>1.5239860285763</v>
      </c>
      <c r="Q119" s="36" t="n">
        <f aca="false">2*PI()*(0.993133+99.997361*L119 - INT(0.993133+99.997361*L119))</f>
        <v>1.96583594920819</v>
      </c>
      <c r="R119" s="36" t="n">
        <f aca="false">2*PI()*(0.827361+1236.853086*L119 - INT(0.827361+1236.853086*L119))</f>
        <v>5.63622694217007</v>
      </c>
      <c r="S119" s="36" t="n">
        <f aca="false">2*PI()*(0.259086+1342.227825*L119 - INT(0.259086+1342.227825*L119))</f>
        <v>5.33283042876391</v>
      </c>
      <c r="T119" s="36" t="n">
        <f aca="false">S119+(O119+412*SIN(2*S119)+541*SIN(Q119))/206264.8062</f>
        <v>5.42678133406991</v>
      </c>
      <c r="U119" s="36" t="n">
        <f aca="false">S119-2*R119</f>
        <v>-5.93962345557623</v>
      </c>
      <c r="V119" s="34" t="n">
        <f aca="false">-526*SIN(U119)+44*SIN(P119+U119)-31*SIN(-P119+U119)-23*SIN(Q119+U119)+11*SIN(-Q119+U119)-25*SIN(-2*P119+S119)+21*SIN(-P119+S119)</f>
        <v>-166.31475493274</v>
      </c>
      <c r="W119" s="36" t="n">
        <f aca="false">2*PI()*(N119+O119/1296000-INT(N119+O119/1296000))</f>
        <v>0.0740132359785281</v>
      </c>
      <c r="X119" s="35" t="n">
        <f aca="false">W119*180/PI()</f>
        <v>4.24064604967548</v>
      </c>
      <c r="Y119" s="36" t="n">
        <f aca="false">(18520*SIN(T119)+V119)/206264.8062</f>
        <v>-0.068640003708614</v>
      </c>
      <c r="Z119" s="36" t="n">
        <f aca="false">Y119*180/PI()</f>
        <v>-3.9327825182659</v>
      </c>
      <c r="AA119" s="36" t="n">
        <f aca="false">COS(Y119)*COS(W119)</f>
        <v>0.994913917069585</v>
      </c>
      <c r="AB119" s="36" t="n">
        <f aca="false">COS(Y119)*SIN(W119)</f>
        <v>0.0737715535933913</v>
      </c>
      <c r="AC119" s="36" t="n">
        <f aca="false">SIN(Y119)</f>
        <v>-0.0685861174121499</v>
      </c>
      <c r="AD119" s="36" t="n">
        <f aca="false">COS($A$10*(23.4393-46.815*L119/3600))*AB119-SIN($A$10*(23.4393-46.815*L119/3600))*AC119</f>
        <v>0.0949643716820333</v>
      </c>
      <c r="AE119" s="36" t="n">
        <f aca="false">SIN($A$10*(23.4393-46.815*L119/3600))*AB119+COS($A$10*(23.4393-46.815*L119/3600))*AC119</f>
        <v>-0.0335866898085008</v>
      </c>
      <c r="AF119" s="36" t="n">
        <f aca="false">SQRT(1-AE119*AE119)</f>
        <v>0.999435807977535</v>
      </c>
      <c r="AG119" s="35" t="n">
        <f aca="false">ATAN(AE119/AF119)/$A$10</f>
        <v>-1.92473756131798</v>
      </c>
      <c r="AH119" s="36" t="n">
        <f aca="false">IF(24*ATAN(AD119/(AA119+AF119))/PI()&gt;0,24*ATAN(AD119/(AA119+AF119))/PI(),24*ATAN(AD119/(AA119+AF119))/PI()+24)</f>
        <v>0.363490311716266</v>
      </c>
      <c r="AI119" s="63" t="n">
        <f aca="false">IF(M119-15*AH119&gt;0,M119-15*AH119,360+M119-15*AH119)</f>
        <v>225.498436699968</v>
      </c>
      <c r="AJ119" s="32" t="n">
        <f aca="false">0.950724+0.051818*COS(P119)+0.009531*COS(2*R119-P119)+0.007843*COS(2*R119)+0.002824*COS(2*P119)+0.000857*COS(2*R119+P119)+0.000533*COS(2*R119-Q119)*(1-0.002495*(J119-2415020)/36525)+0.000401*COS(2*R119-Q119-P119)*(1-0.002495*(J119-2415020)/36525)+0.00032*COS(P119-Q119)*(1-0.002495*(J119-2415020)/36525)-0.000271*COS(R119)</f>
        <v>0.943852384003769</v>
      </c>
      <c r="AK119" s="36" t="n">
        <f aca="false">ASIN(COS($A$10*$B$5)*COS($A$10*AG119)*COS($A$10*AI119)+SIN($A$10*$B$5)*SIN($A$10*AG119))/$A$10</f>
        <v>-28.4259784362823</v>
      </c>
      <c r="AL119" s="32" t="n">
        <f aca="false">ASIN((0.9983271+0.0016764*COS($A$10*2*$B$5))*COS($A$10*AK119)*SIN($A$10*AJ119))/$A$10</f>
        <v>0.828415937814604</v>
      </c>
      <c r="AM119" s="32" t="n">
        <f aca="false">AK119-AL119</f>
        <v>-29.2543943740969</v>
      </c>
      <c r="AN119" s="35" t="n">
        <f aca="false"> MOD(280.4664567 + 360007.6982779*L119/10 + 0.03032028*L119^2/100 + L119^3/49931000,360)</f>
        <v>35.9565750516358</v>
      </c>
      <c r="AO119" s="32" t="n">
        <f aca="false"> AN119 + (1.9146 - 0.004817*L119 - 0.000014*L119^2)*SIN(Q119)+ (0.019993 - 0.000101*L119)*SIN(2*Q119)+ 0.00029*SIN(3*Q119)</f>
        <v>37.7084257874885</v>
      </c>
      <c r="AP119" s="32" t="n">
        <f aca="false">ACOS(COS(W119-$A$10*AO119)*COS(Y119))/$A$10</f>
        <v>33.6713245921079</v>
      </c>
      <c r="AQ119" s="34" t="n">
        <f aca="false">180 - AP119 -0.1468*(1-0.0549*SIN(Q119))*SIN($A$10*AP119)/(1-0.0167*SIN($A$10*AO119))</f>
        <v>146.250612176652</v>
      </c>
      <c r="AR119" s="64" t="n">
        <f aca="false">SIN($A$10*AI119)</f>
        <v>-0.713231324766725</v>
      </c>
      <c r="AS119" s="64" t="n">
        <f aca="false">COS($A$10*AI119)*SIN($A$10*$B$5) - TAN($A$10*AG119)*COS($A$10*$B$5)</f>
        <v>-0.515341259384247</v>
      </c>
      <c r="AT119" s="24" t="n">
        <f aca="false">IF(OR(AND(AR119*AS119&gt;0), AND(AR119&lt;0,AS119&gt;0)), MOD(ATAN2(AS119,AR119)/$A$10+360,360),  ATAN2(AS119,AR119)/$A$10)</f>
        <v>234.150219473738</v>
      </c>
      <c r="AU119" s="39" t="n">
        <f aca="false"> 385000.56 + (-20905355*COS(P119) - 3699111*COS(2*R119-P119) - 2955968*COS(2*R119) - 569925*COS(2*P119) + (1-0.002516*L119)*48888*COS(Q119) - 3149*COS(2*S119)  +246158*COS(2*R119-2*P119) -(1 - 0.002516*L119)*152138*COS(2*R119-Q119-P119) -170733*COS(2*R119+P119) -(1 - 0.002516*L119)*204586*COS(2*R119-Q119) -(1 - 0.002516*L119)*129620*COS(Q119-P119)  + 108743*COS(R119) +(1-0.002516*L119)*104755*COS(Q119+P119) +10321*COS(2*R119-2*S119) +79661*COS(P119-2*S119) -34782*COS(4*R119-P119) -23210*COS(3*P119)  -21636*COS(4*R119-2*P119) +(1 - 0.002516*L119)*24208*COS(2*R119+Q119-P119) +(1 - 0.002516*L119)*30824*COS(2*R119+Q119) -8379*COS(R119-P119) -(1 - 0.002516*L119)*16675*COS(R119+Q119)  -(1 - 0.002516*L119)*12831*COS(2*R119-Q119+P119) -10445*COS(2*R119+2*P119) -11650*COS(4*R119) +14403*COS(2*R119-3*P119) -(1-0.002516*L119)*7003*COS(Q119-2*P119)  + (1 - 0.002516*L119)*10056*COS(2*R119-Q119-2*P119) +6322*COS(R119+P119) -(1 - 0.002516*L119)*(1-0.002516*L119)*9884*COS(2*R119-2*Q119) +(1-0.002516*L119)*5751*COS(Q119+2*P119) - (1-0.002516*L119)^2*4950*COS(2*R119-2*Q119-P119)  +4130*COS(2*R119+P119-2*S119) -(1-0.002516*L119)*3958*COS(4*R119-Q119-P119) +3258*COS(3*R119-P119) +(1 - 0.002516*L119)*2616*COS(2*R119+Q119+P119) -(1 - 0.002516*L119)*1897*COS(4*R119-Q119-2*P119)  -(1-0.002516*L119)^2*2117*COS(2*Q119-P119) +(1-0.002516*L119)^2*2354*COS(2*R119+2*Q119-P119) -1423*COS(4*R119+P119) -1117*COS(4*P119) -(1-0.002516*L119)*1571*COS(4*R119-Q119)  -1739*COS(R119-2*P119) -4421*COS(2*P119-2*S119) +(1-0.002516*L119)^2*1165*COS(2*Q119+P119) +8752*COS(2*R119-P119-2*S119))/1000</f>
        <v>387084.097218481</v>
      </c>
      <c r="AV119" s="54" t="n">
        <f aca="false">ATAN(0.99664719*TAN($A$10*input!$E$2))</f>
        <v>0.871010436227447</v>
      </c>
      <c r="AW119" s="54" t="n">
        <f aca="false">COS(AV119)</f>
        <v>0.644053912545845</v>
      </c>
      <c r="AX119" s="54" t="n">
        <f aca="false">0.99664719*SIN(AV119)</f>
        <v>0.762415269897027</v>
      </c>
      <c r="AY119" s="54" t="n">
        <f aca="false">6378.14/AU119</f>
        <v>0.0164774012826469</v>
      </c>
      <c r="AZ119" s="55" t="n">
        <f aca="false">M119-15*AH119</f>
        <v>225.498436699968</v>
      </c>
      <c r="BA119" s="56" t="n">
        <f aca="false">COS($A$10*AG119)*SIN($A$10*AZ119)</f>
        <v>-0.71282892534312</v>
      </c>
      <c r="BB119" s="56" t="n">
        <f aca="false">COS($A$10*AG119)*COS($A$10*AZ119)-AW119*AY119</f>
        <v>-0.711145601256626</v>
      </c>
      <c r="BC119" s="56" t="n">
        <f aca="false">SIN($A$10*AG119)-AX119*AY119</f>
        <v>-0.0461493121546116</v>
      </c>
      <c r="BD119" s="57" t="n">
        <f aca="false">SQRT(BA119^2+BB119^2+BC119^2)</f>
        <v>1.00795977201713</v>
      </c>
      <c r="BE119" s="58" t="n">
        <f aca="false">AU119*BD119</f>
        <v>390165.198383796</v>
      </c>
    </row>
    <row r="120" customFormat="false" ht="15" hidden="false" customHeight="false" outlineLevel="0" collapsed="false">
      <c r="D120" s="41" t="n">
        <f aca="false">K120-INT(275*E120/9)+IF($A$8="common year",2,1)*INT((E120+9)/12)+30</f>
        <v>29</v>
      </c>
      <c r="E120" s="41" t="n">
        <f aca="false">IF(K120&lt;32,1,INT(9*(IF($A$8="common year",2,1)+K120)/275+0.98))</f>
        <v>4</v>
      </c>
      <c r="F120" s="42" t="n">
        <f aca="false">AM120</f>
        <v>-29.0702848126131</v>
      </c>
      <c r="G120" s="60" t="n">
        <f aca="false">F120+1.02/(TAN($A$10*(F120+10.3/(F120+5.11)))*60)</f>
        <v>-29.1003320116335</v>
      </c>
      <c r="H120" s="43" t="n">
        <f aca="false">100*(1+COS($A$10*AQ120))/2</f>
        <v>3.57101117298979</v>
      </c>
      <c r="I120" s="43" t="n">
        <f aca="false">IF(AI120&gt;180,AT120-180,AT120+180)</f>
        <v>40.4570038443698</v>
      </c>
      <c r="J120" s="61" t="n">
        <f aca="false">$J$2+K119</f>
        <v>2459698.5</v>
      </c>
      <c r="K120" s="21" t="n">
        <v>119</v>
      </c>
      <c r="L120" s="62" t="n">
        <f aca="false">(J120-2451545)/36525</f>
        <v>0.223230663928816</v>
      </c>
      <c r="M120" s="63" t="n">
        <f aca="false">MOD(280.46061837+360.98564736629*(J120-2451545)+0.000387933*L120^2-L120^3/38710000+$B$7,360)</f>
        <v>231.93643874675</v>
      </c>
      <c r="N120" s="30" t="n">
        <f aca="false">0.606433+1336.855225*L120 - INT(0.606433+1336.855225*L120)</f>
        <v>0.0335124534565239</v>
      </c>
      <c r="O120" s="35" t="n">
        <f aca="false">22640*SIN(P120)-4586*SIN(P120-2*R120)+2370*SIN(2*R120)+769*SIN(2*P120)-668*SIN(Q120)-412*SIN(2*S120)-212*SIN(2*P120-2*R120)-206*SIN(P120+Q120-2*R120)+192*SIN(P120+2*R120)-165*SIN(Q120-2*R120)-125*SIN(R120)-110*SIN(P120+Q120)+148*SIN(P120-Q120)-55*SIN(2*S120-2*R120)</f>
        <v>18316.33499578</v>
      </c>
      <c r="P120" s="32" t="n">
        <f aca="false">2*PI()*(0.374897+1325.55241*L120 - INT(0.374897+1325.55241*L120))</f>
        <v>1.75201317235212</v>
      </c>
      <c r="Q120" s="36" t="n">
        <f aca="false">2*PI()*(0.993133+99.997361*L120 - INT(0.993133+99.997361*L120))</f>
        <v>1.98303791907517</v>
      </c>
      <c r="R120" s="36" t="n">
        <f aca="false">2*PI()*(0.827361+1236.853086*L120 - INT(0.827361+1236.853086*L120))</f>
        <v>5.84899565228909</v>
      </c>
      <c r="S120" s="36" t="n">
        <f aca="false">2*PI()*(0.259086+1342.227825*L120 - INT(0.259086+1342.227825*L120))</f>
        <v>5.56372614810491</v>
      </c>
      <c r="T120" s="36" t="n">
        <f aca="false">S120+(O120+412*SIN(2*S120)+541*SIN(Q120))/206264.8062</f>
        <v>5.65294927144303</v>
      </c>
      <c r="U120" s="36" t="n">
        <f aca="false">S120-2*R120</f>
        <v>-6.13426515647327</v>
      </c>
      <c r="V120" s="34" t="n">
        <f aca="false">-526*SIN(U120)+44*SIN(P120+U120)-31*SIN(-P120+U120)-23*SIN(Q120+U120)+11*SIN(-Q120+U120)-25*SIN(-2*P120+S120)+21*SIN(-P120+S120)</f>
        <v>-70.642441324017</v>
      </c>
      <c r="W120" s="36" t="n">
        <f aca="false">2*PI()*(N120+O120/1296000-INT(N120+O120/1296000))</f>
        <v>0.299365053102966</v>
      </c>
      <c r="X120" s="35" t="n">
        <f aca="false">W120*180/PI()</f>
        <v>17.1523540765097</v>
      </c>
      <c r="Y120" s="36" t="n">
        <f aca="false">(18520*SIN(T120)+V120)/206264.8062</f>
        <v>-0.0532574385984535</v>
      </c>
      <c r="Z120" s="36" t="n">
        <f aca="false">Y120*180/PI()</f>
        <v>-3.05142645936851</v>
      </c>
      <c r="AA120" s="36" t="n">
        <f aca="false">COS(Y120)*COS(W120)</f>
        <v>0.954169154006095</v>
      </c>
      <c r="AB120" s="36" t="n">
        <f aca="false">COS(Y120)*SIN(W120)</f>
        <v>0.294495418299517</v>
      </c>
      <c r="AC120" s="36" t="n">
        <f aca="false">SIN(Y120)</f>
        <v>-0.053232266003673</v>
      </c>
      <c r="AD120" s="36" t="n">
        <f aca="false">COS($A$10*(23.4393-46.815*L120/3600))*AB120-SIN($A$10*(23.4393-46.815*L120/3600))*AC120</f>
        <v>0.291372292720278</v>
      </c>
      <c r="AE120" s="36" t="n">
        <f aca="false">SIN($A$10*(23.4393-46.815*L120/3600))*AB120+COS($A$10*(23.4393-46.815*L120/3600))*AC120</f>
        <v>0.0682891834643108</v>
      </c>
      <c r="AF120" s="36" t="n">
        <f aca="false">SQRT(1-AE120*AE120)</f>
        <v>0.997665568926671</v>
      </c>
      <c r="AG120" s="35" t="n">
        <f aca="false">ATAN(AE120/AF120)/$A$10</f>
        <v>3.91572947355006</v>
      </c>
      <c r="AH120" s="36" t="n">
        <f aca="false">IF(24*ATAN(AD120/(AA120+AF120))/PI()&gt;0,24*ATAN(AD120/(AA120+AF120))/PI(),24*ATAN(AD120/(AA120+AF120))/PI()+24)</f>
        <v>1.13206469704797</v>
      </c>
      <c r="AI120" s="63" t="n">
        <f aca="false">IF(M120-15*AH120&gt;0,M120-15*AH120,360+M120-15*AH120)</f>
        <v>214.955468291031</v>
      </c>
      <c r="AJ120" s="32" t="n">
        <f aca="false">0.950724+0.051818*COS(P120)+0.009531*COS(2*R120-P120)+0.007843*COS(2*R120)+0.002824*COS(2*P120)+0.000857*COS(2*R120+P120)+0.000533*COS(2*R120-Q120)*(1-0.002495*(J120-2415020)/36525)+0.000401*COS(2*R120-Q120-P120)*(1-0.002495*(J120-2415020)/36525)+0.00032*COS(P120-Q120)*(1-0.002495*(J120-2415020)/36525)-0.000271*COS(R120)</f>
        <v>0.935601758069075</v>
      </c>
      <c r="AK120" s="36" t="n">
        <f aca="false">ASIN(COS($A$10*$B$5)*COS($A$10*AG120)*COS($A$10*AI120)+SIN($A$10*$B$5)*SIN($A$10*AG120))/$A$10</f>
        <v>-28.2477313494741</v>
      </c>
      <c r="AL120" s="32" t="n">
        <f aca="false">ASIN((0.9983271+0.0016764*COS($A$10*2*$B$5))*COS($A$10*AK120)*SIN($A$10*AJ120))/$A$10</f>
        <v>0.822553463139013</v>
      </c>
      <c r="AM120" s="32" t="n">
        <f aca="false">AK120-AL120</f>
        <v>-29.0702848126131</v>
      </c>
      <c r="AN120" s="35" t="n">
        <f aca="false"> MOD(280.4664567 + 360007.6982779*L120/10 + 0.03032028*L120^2/100 + L120^3/49931000,360)</f>
        <v>36.9422224154478</v>
      </c>
      <c r="AO120" s="32" t="n">
        <f aca="false"> AN120 + (1.9146 - 0.004817*L120 - 0.000014*L120^2)*SIN(Q120)+ (0.019993 - 0.000101*L120)*SIN(2*Q120)+ 0.00029*SIN(3*Q120)</f>
        <v>38.6806836064021</v>
      </c>
      <c r="AP120" s="32" t="n">
        <f aca="false">ACOS(COS(W120-$A$10*AO120)*COS(Y120))/$A$10</f>
        <v>21.7333321710084</v>
      </c>
      <c r="AQ120" s="34" t="n">
        <f aca="false">180 - AP120 -0.1468*(1-0.0549*SIN(Q120))*SIN($A$10*AP120)/(1-0.0167*SIN($A$10*AO120))</f>
        <v>158.214499431392</v>
      </c>
      <c r="AR120" s="64" t="n">
        <f aca="false">SIN($A$10*AI120)</f>
        <v>-0.572939597771552</v>
      </c>
      <c r="AS120" s="64" t="n">
        <f aca="false">COS($A$10*AI120)*SIN($A$10*$B$5) - TAN($A$10*AG120)*COS($A$10*$B$5)</f>
        <v>-0.67184633470396</v>
      </c>
      <c r="AT120" s="24" t="n">
        <f aca="false">IF(OR(AND(AR120*AS120&gt;0), AND(AR120&lt;0,AS120&gt;0)), MOD(ATAN2(AS120,AR120)/$A$10+360,360),  ATAN2(AS120,AR120)/$A$10)</f>
        <v>220.45700384437</v>
      </c>
      <c r="AU120" s="39" t="n">
        <f aca="false"> 385000.56 + (-20905355*COS(P120) - 3699111*COS(2*R120-P120) - 2955968*COS(2*R120) - 569925*COS(2*P120) + (1-0.002516*L120)*48888*COS(Q120) - 3149*COS(2*S120)  +246158*COS(2*R120-2*P120) -(1 - 0.002516*L120)*152138*COS(2*R120-Q120-P120) -170733*COS(2*R120+P120) -(1 - 0.002516*L120)*204586*COS(2*R120-Q120) -(1 - 0.002516*L120)*129620*COS(Q120-P120)  + 108743*COS(R120) +(1-0.002516*L120)*104755*COS(Q120+P120) +10321*COS(2*R120-2*S120) +79661*COS(P120-2*S120) -34782*COS(4*R120-P120) -23210*COS(3*P120)  -21636*COS(4*R120-2*P120) +(1 - 0.002516*L120)*24208*COS(2*R120+Q120-P120) +(1 - 0.002516*L120)*30824*COS(2*R120+Q120) -8379*COS(R120-P120) -(1 - 0.002516*L120)*16675*COS(R120+Q120)  -(1 - 0.002516*L120)*12831*COS(2*R120-Q120+P120) -10445*COS(2*R120+2*P120) -11650*COS(4*R120) +14403*COS(2*R120-3*P120) -(1-0.002516*L120)*7003*COS(Q120-2*P120)  + (1 - 0.002516*L120)*10056*COS(2*R120-Q120-2*P120) +6322*COS(R120+P120) -(1 - 0.002516*L120)*(1-0.002516*L120)*9884*COS(2*R120-2*Q120) +(1-0.002516*L120)*5751*COS(Q120+2*P120) - (1-0.002516*L120)^2*4950*COS(2*R120-2*Q120-P120)  +4130*COS(2*R120+P120-2*S120) -(1-0.002516*L120)*3958*COS(4*R120-Q120-P120) +3258*COS(3*R120-P120) +(1 - 0.002516*L120)*2616*COS(2*R120+Q120+P120) -(1 - 0.002516*L120)*1897*COS(4*R120-Q120-2*P120)  -(1-0.002516*L120)^2*2117*COS(2*Q120-P120) +(1-0.002516*L120)^2*2354*COS(2*R120+2*Q120-P120) -1423*COS(4*R120+P120) -1117*COS(4*P120) -(1-0.002516*L120)*1571*COS(4*R120-Q120)  -1739*COS(R120-2*P120) -4421*COS(2*P120-2*S120) +(1-0.002516*L120)^2*1165*COS(2*Q120+P120) +8752*COS(2*R120-P120-2*S120))/1000</f>
        <v>390485.351198672</v>
      </c>
      <c r="AV120" s="54" t="n">
        <f aca="false">ATAN(0.99664719*TAN($A$10*input!$E$2))</f>
        <v>0.871010436227447</v>
      </c>
      <c r="AW120" s="54" t="n">
        <f aca="false">COS(AV120)</f>
        <v>0.644053912545845</v>
      </c>
      <c r="AX120" s="54" t="n">
        <f aca="false">0.99664719*SIN(AV120)</f>
        <v>0.762415269897027</v>
      </c>
      <c r="AY120" s="54" t="n">
        <f aca="false">6378.14/AU120</f>
        <v>0.0163338777765185</v>
      </c>
      <c r="AZ120" s="55" t="n">
        <f aca="false">M120-15*AH120</f>
        <v>214.955468291031</v>
      </c>
      <c r="BA120" s="56" t="n">
        <f aca="false">COS($A$10*AG120)*SIN($A$10*AZ120)</f>
        <v>-0.571602109771373</v>
      </c>
      <c r="BB120" s="56" t="n">
        <f aca="false">COS($A$10*AG120)*COS($A$10*AZ120)-AW120*AY120</f>
        <v>-0.828204198537308</v>
      </c>
      <c r="BC120" s="56" t="n">
        <f aca="false">SIN($A$10*AG120)-AX120*AY120</f>
        <v>0.0558359856308614</v>
      </c>
      <c r="BD120" s="57" t="n">
        <f aca="false">SQRT(BA120^2+BB120^2+BC120^2)</f>
        <v>1.0078535725299</v>
      </c>
      <c r="BE120" s="58" t="n">
        <f aca="false">AU120*BD120</f>
        <v>393552.056226174</v>
      </c>
    </row>
    <row r="121" customFormat="false" ht="15" hidden="false" customHeight="false" outlineLevel="0" collapsed="false">
      <c r="D121" s="41" t="n">
        <f aca="false">K121-INT(275*E121/9)+IF($A$8="common year",2,1)*INT((E121+9)/12)+30</f>
        <v>30</v>
      </c>
      <c r="E121" s="41" t="n">
        <f aca="false">IF(K121&lt;32,1,INT(9*(IF($A$8="common year",2,1)+K121)/275+0.98))</f>
        <v>4</v>
      </c>
      <c r="F121" s="42" t="n">
        <f aca="false">AM121</f>
        <v>-27.6078675554814</v>
      </c>
      <c r="G121" s="60" t="n">
        <f aca="false">F121+1.02/(TAN($A$10*(F121+10.3/(F121+5.11)))*60)</f>
        <v>-27.6397516658411</v>
      </c>
      <c r="H121" s="43" t="n">
        <f aca="false">100*(1+COS($A$10*AQ121))/2</f>
        <v>0.767408509814499</v>
      </c>
      <c r="I121" s="43" t="n">
        <f aca="false">IF(AI121&gt;180,AT121-180,AT121+180)</f>
        <v>27.206331819382</v>
      </c>
      <c r="J121" s="61" t="n">
        <f aca="false">$J$2+K120</f>
        <v>2459699.5</v>
      </c>
      <c r="K121" s="21" t="n">
        <v>120</v>
      </c>
      <c r="L121" s="62" t="n">
        <f aca="false">(J121-2451545)/36525</f>
        <v>0.223258042436687</v>
      </c>
      <c r="M121" s="63" t="n">
        <f aca="false">MOD(280.46061837+360.98564736629*(J121-2451545)+0.000387933*L121^2-L121^3/38710000+$B$7,360)</f>
        <v>232.922086117324</v>
      </c>
      <c r="N121" s="30" t="n">
        <f aca="false">0.606433+1336.855225*L121 - INT(0.606433+1336.855225*L121)</f>
        <v>0.0701135547570289</v>
      </c>
      <c r="O121" s="35" t="n">
        <f aca="false">22640*SIN(P121)-4586*SIN(P121-2*R121)+2370*SIN(2*R121)+769*SIN(2*P121)-668*SIN(Q121)-412*SIN(2*S121)-212*SIN(2*P121-2*R121)-206*SIN(P121+Q121-2*R121)+192*SIN(P121+2*R121)-165*SIN(Q121-2*R121)-125*SIN(R121)-110*SIN(P121+Q121)+148*SIN(P121-Q121)-55*SIN(2*S121-2*R121)</f>
        <v>16527.5180792268</v>
      </c>
      <c r="P121" s="32" t="n">
        <f aca="false">2*PI()*(0.374897+1325.55241*L121 - INT(0.374897+1325.55241*L121))</f>
        <v>1.98004031612793</v>
      </c>
      <c r="Q121" s="36" t="n">
        <f aca="false">2*PI()*(0.993133+99.997361*L121 - INT(0.993133+99.997361*L121))</f>
        <v>2.00023988894216</v>
      </c>
      <c r="R121" s="36" t="n">
        <f aca="false">2*PI()*(0.827361+1236.853086*L121 - INT(0.827361+1236.853086*L121))</f>
        <v>6.06176436240812</v>
      </c>
      <c r="S121" s="36" t="n">
        <f aca="false">2*PI()*(0.259086+1342.227825*L121 - INT(0.259086+1342.227825*L121))</f>
        <v>5.79462186744556</v>
      </c>
      <c r="T121" s="36" t="n">
        <f aca="false">S121+(O121+412*SIN(2*S121)+541*SIN(Q121))/206264.8062</f>
        <v>5.87547855904179</v>
      </c>
      <c r="U121" s="36" t="n">
        <f aca="false">S121-2*R121</f>
        <v>-6.32890685737067</v>
      </c>
      <c r="V121" s="34" t="n">
        <f aca="false">-526*SIN(U121)+44*SIN(P121+U121)-31*SIN(-P121+U121)-23*SIN(Q121+U121)+11*SIN(-Q121+U121)-25*SIN(-2*P121+S121)+21*SIN(-P121+S121)</f>
        <v>24.6781936104162</v>
      </c>
      <c r="W121" s="36" t="n">
        <f aca="false">2*PI()*(N121+O121/1296000-INT(N121+O121/1296000))</f>
        <v>0.520664125879439</v>
      </c>
      <c r="X121" s="35" t="n">
        <f aca="false">W121*180/PI()</f>
        <v>29.8318569567601</v>
      </c>
      <c r="Y121" s="36" t="n">
        <f aca="false">(18520*SIN(T121)+V121)/206264.8062</f>
        <v>-0.0354815552739615</v>
      </c>
      <c r="Z121" s="36" t="n">
        <f aca="false">Y121*180/PI()</f>
        <v>-2.03294336775814</v>
      </c>
      <c r="AA121" s="36" t="n">
        <f aca="false">COS(Y121)*COS(W121)</f>
        <v>0.866942996016564</v>
      </c>
      <c r="AB121" s="36" t="n">
        <f aca="false">COS(Y121)*SIN(W121)</f>
        <v>0.497143268198521</v>
      </c>
      <c r="AC121" s="36" t="n">
        <f aca="false">SIN(Y121)</f>
        <v>-0.0354741108798582</v>
      </c>
      <c r="AD121" s="36" t="n">
        <f aca="false">COS($A$10*(23.4393-46.815*L121/3600))*AB121-SIN($A$10*(23.4393-46.815*L121/3600))*AC121</f>
        <v>0.470239166822296</v>
      </c>
      <c r="AE121" s="36" t="n">
        <f aca="false">SIN($A$10*(23.4393-46.815*L121/3600))*AB121+COS($A$10*(23.4393-46.815*L121/3600))*AC121</f>
        <v>0.165181620176386</v>
      </c>
      <c r="AF121" s="36" t="n">
        <f aca="false">SQRT(1-AE121*AE121)</f>
        <v>0.986263165872022</v>
      </c>
      <c r="AG121" s="35" t="n">
        <f aca="false">ATAN(AE121/AF121)/$A$10</f>
        <v>9.50778531289009</v>
      </c>
      <c r="AH121" s="36" t="n">
        <f aca="false">IF(24*ATAN(AD121/(AA121+AF121))/PI()&gt;0,24*ATAN(AD121/(AA121+AF121))/PI(),24*ATAN(AD121/(AA121+AF121))/PI()+24)</f>
        <v>1.89839189238571</v>
      </c>
      <c r="AI121" s="63" t="n">
        <f aca="false">IF(M121-15*AH121&gt;0,M121-15*AH121,360+M121-15*AH121)</f>
        <v>204.446207731538</v>
      </c>
      <c r="AJ121" s="32" t="n">
        <f aca="false">0.950724+0.051818*COS(P121)+0.009531*COS(2*R121-P121)+0.007843*COS(2*R121)+0.002824*COS(2*P121)+0.000857*COS(2*R121+P121)+0.000533*COS(2*R121-Q121)*(1-0.002495*(J121-2415020)/36525)+0.000401*COS(2*R121-Q121-P121)*(1-0.002495*(J121-2415020)/36525)+0.00032*COS(P121-Q121)*(1-0.002495*(J121-2415020)/36525)-0.000271*COS(R121)</f>
        <v>0.927650369974184</v>
      </c>
      <c r="AK121" s="36" t="n">
        <f aca="false">ASIN(COS($A$10*$B$5)*COS($A$10*AG121)*COS($A$10*AI121)+SIN($A$10*$B$5)*SIN($A$10*AG121))/$A$10</f>
        <v>-26.781357869881</v>
      </c>
      <c r="AL121" s="32" t="n">
        <f aca="false">ASIN((0.9983271+0.0016764*COS($A$10*2*$B$5))*COS($A$10*AK121)*SIN($A$10*AJ121))/$A$10</f>
        <v>0.82650968560046</v>
      </c>
      <c r="AM121" s="32" t="n">
        <f aca="false">AK121-AL121</f>
        <v>-27.6078675554814</v>
      </c>
      <c r="AN121" s="35" t="n">
        <f aca="false"> MOD(280.4664567 + 360007.6982779*L121/10 + 0.03032028*L121^2/100 + L121^3/49931000,360)</f>
        <v>37.9278697792579</v>
      </c>
      <c r="AO121" s="32" t="n">
        <f aca="false"> AN121 + (1.9146 - 0.004817*L121 - 0.000014*L121^2)*SIN(Q121)+ (0.019993 - 0.000101*L121)*SIN(2*Q121)+ 0.00029*SIN(3*Q121)</f>
        <v>39.6524402552368</v>
      </c>
      <c r="AP121" s="32" t="n">
        <f aca="false">ACOS(COS(W121-$A$10*AO121)*COS(Y121))/$A$10</f>
        <v>10.0267721537465</v>
      </c>
      <c r="AQ121" s="34" t="n">
        <f aca="false">180 - AP121 -0.1468*(1-0.0549*SIN(Q121))*SIN($A$10*AP121)/(1-0.0167*SIN($A$10*AO121))</f>
        <v>169.948682956929</v>
      </c>
      <c r="AR121" s="64" t="n">
        <f aca="false">SIN($A$10*AI121)</f>
        <v>-0.413838740879289</v>
      </c>
      <c r="AS121" s="64" t="n">
        <f aca="false">COS($A$10*AI121)*SIN($A$10*$B$5) - TAN($A$10*AG121)*COS($A$10*$B$5)</f>
        <v>-0.805024261334915</v>
      </c>
      <c r="AT121" s="24" t="n">
        <f aca="false">IF(OR(AND(AR121*AS121&gt;0), AND(AR121&lt;0,AS121&gt;0)), MOD(ATAN2(AS121,AR121)/$A$10+360,360),  ATAN2(AS121,AR121)/$A$10)</f>
        <v>207.206331819382</v>
      </c>
      <c r="AU121" s="39" t="n">
        <f aca="false"> 385000.56 + (-20905355*COS(P121) - 3699111*COS(2*R121-P121) - 2955968*COS(2*R121) - 569925*COS(2*P121) + (1-0.002516*L121)*48888*COS(Q121) - 3149*COS(2*S121)  +246158*COS(2*R121-2*P121) -(1 - 0.002516*L121)*152138*COS(2*R121-Q121-P121) -170733*COS(2*R121+P121) -(1 - 0.002516*L121)*204586*COS(2*R121-Q121) -(1 - 0.002516*L121)*129620*COS(Q121-P121)  + 108743*COS(R121) +(1-0.002516*L121)*104755*COS(Q121+P121) +10321*COS(2*R121-2*S121) +79661*COS(P121-2*S121) -34782*COS(4*R121-P121) -23210*COS(3*P121)  -21636*COS(4*R121-2*P121) +(1 - 0.002516*L121)*24208*COS(2*R121+Q121-P121) +(1 - 0.002516*L121)*30824*COS(2*R121+Q121) -8379*COS(R121-P121) -(1 - 0.002516*L121)*16675*COS(R121+Q121)  -(1 - 0.002516*L121)*12831*COS(2*R121-Q121+P121) -10445*COS(2*R121+2*P121) -11650*COS(4*R121) +14403*COS(2*R121-3*P121) -(1-0.002516*L121)*7003*COS(Q121-2*P121)  + (1 - 0.002516*L121)*10056*COS(2*R121-Q121-2*P121) +6322*COS(R121+P121) -(1 - 0.002516*L121)*(1-0.002516*L121)*9884*COS(2*R121-2*Q121) +(1-0.002516*L121)*5751*COS(Q121+2*P121) - (1-0.002516*L121)^2*4950*COS(2*R121-2*Q121-P121)  +4130*COS(2*R121+P121-2*S121) -(1-0.002516*L121)*3958*COS(4*R121-Q121-P121) +3258*COS(3*R121-P121) +(1 - 0.002516*L121)*2616*COS(2*R121+Q121+P121) -(1 - 0.002516*L121)*1897*COS(4*R121-Q121-2*P121)  -(1-0.002516*L121)^2*2117*COS(2*Q121-P121) +(1-0.002516*L121)^2*2354*COS(2*R121+2*Q121-P121) -1423*COS(4*R121+P121) -1117*COS(4*P121) -(1-0.002516*L121)*1571*COS(4*R121-Q121)  -1739*COS(R121-2*P121) -4421*COS(2*P121-2*S121) +(1-0.002516*L121)^2*1165*COS(2*Q121+P121) +8752*COS(2*R121-P121-2*S121))/1000</f>
        <v>393808.751036664</v>
      </c>
      <c r="AV121" s="54" t="n">
        <f aca="false">ATAN(0.99664719*TAN($A$10*input!$E$2))</f>
        <v>0.871010436227447</v>
      </c>
      <c r="AW121" s="54" t="n">
        <f aca="false">COS(AV121)</f>
        <v>0.644053912545845</v>
      </c>
      <c r="AX121" s="54" t="n">
        <f aca="false">0.99664719*SIN(AV121)</f>
        <v>0.762415269897027</v>
      </c>
      <c r="AY121" s="54" t="n">
        <f aca="false">6378.14/AU121</f>
        <v>0.0161960341998754</v>
      </c>
      <c r="AZ121" s="55" t="n">
        <f aca="false">M121-15*AH121</f>
        <v>204.446207731538</v>
      </c>
      <c r="BA121" s="56" t="n">
        <f aca="false">COS($A$10*AG121)*SIN($A$10*AZ121)</f>
        <v>-0.4081539067401</v>
      </c>
      <c r="BB121" s="56" t="n">
        <f aca="false">COS($A$10*AG121)*COS($A$10*AZ121)-AW121*AY121</f>
        <v>-0.90827599486517</v>
      </c>
      <c r="BC121" s="56" t="n">
        <f aca="false">SIN($A$10*AG121)-AX121*AY121</f>
        <v>0.152833516390627</v>
      </c>
      <c r="BD121" s="57" t="n">
        <f aca="false">SQRT(BA121^2+BB121^2+BC121^2)</f>
        <v>1.00742889484462</v>
      </c>
      <c r="BE121" s="58" t="n">
        <f aca="false">AU121*BD121</f>
        <v>396734.314837004</v>
      </c>
    </row>
    <row r="122" customFormat="false" ht="15" hidden="false" customHeight="false" outlineLevel="0" collapsed="false">
      <c r="A122" s="11"/>
      <c r="B122" s="69"/>
      <c r="C122" s="69"/>
      <c r="D122" s="70" t="n">
        <f aca="false">K122-INT(275*E122/9)+IF($A$8="common year",2,1)*INT((E122+9)/12)+30</f>
        <v>1</v>
      </c>
      <c r="E122" s="70" t="n">
        <f aca="false">IF(K122&lt;32,1,INT(9*(IF($A$8="common year",2,1)+K122)/275+0.98))</f>
        <v>5</v>
      </c>
      <c r="F122" s="42" t="n">
        <f aca="false">AM122</f>
        <v>-25.0757406599861</v>
      </c>
      <c r="G122" s="60" t="n">
        <f aca="false">F122+1.02/(TAN($A$10*(F122+10.3/(F122+5.11)))*60)</f>
        <v>-25.1112357119815</v>
      </c>
      <c r="H122" s="43" t="n">
        <f aca="false">100*(1+COS($A$10*AQ122))/2</f>
        <v>0.0278287218067053</v>
      </c>
      <c r="I122" s="43" t="n">
        <f aca="false">IF(AI122&gt;180,AT122-180,AT122+180)</f>
        <v>14.6283858881041</v>
      </c>
      <c r="J122" s="44" t="n">
        <f aca="false">$J$2+K121</f>
        <v>2459700.5</v>
      </c>
      <c r="K122" s="11" t="n">
        <v>121</v>
      </c>
      <c r="L122" s="45" t="n">
        <f aca="false">(J122-2451545)/36525</f>
        <v>0.223285420944559</v>
      </c>
      <c r="M122" s="46" t="n">
        <f aca="false">MOD(280.46061837+360.98564736629*(J122-2451545)+0.000387933*L122^2-L122^3/38710000+$B$7,360)</f>
        <v>233.907733488362</v>
      </c>
      <c r="N122" s="47" t="n">
        <f aca="false">0.606433+1336.855225*L122 - INT(0.606433+1336.855225*L122)</f>
        <v>0.106714656057477</v>
      </c>
      <c r="O122" s="46" t="n">
        <f aca="false">22640*SIN(P122)-4586*SIN(P122-2*R122)+2370*SIN(2*R122)+769*SIN(2*P122)-668*SIN(Q122)-412*SIN(2*S122)-212*SIN(2*P122-2*R122)-206*SIN(P122+Q122-2*R122)+192*SIN(P122+2*R122)-165*SIN(Q122-2*R122)-125*SIN(R122)-110*SIN(P122+Q122)+148*SIN(P122-Q122)-55*SIN(2*S122-2*R122)</f>
        <v>13931.0707563707</v>
      </c>
      <c r="P122" s="48" t="n">
        <f aca="false">2*PI()*(0.374897+1325.55241*L122 - INT(0.374897+1325.55241*L122))</f>
        <v>2.20806745990339</v>
      </c>
      <c r="Q122" s="51" t="n">
        <f aca="false">2*PI()*(0.993133+99.997361*L122 - INT(0.993133+99.997361*L122))</f>
        <v>2.01744185880917</v>
      </c>
      <c r="R122" s="51" t="n">
        <f aca="false">2*PI()*(0.827361+1236.853086*L122 - INT(0.827361+1236.853086*L122))</f>
        <v>6.27453307252714</v>
      </c>
      <c r="S122" s="51" t="n">
        <f aca="false">2*PI()*(0.259086+1342.227825*L122 - INT(0.259086+1342.227825*L122))</f>
        <v>6.02551758678656</v>
      </c>
      <c r="T122" s="51" t="n">
        <f aca="false">S122+(O122+412*SIN(2*S122)+541*SIN(Q122))/206264.8062</f>
        <v>6.09443847977522</v>
      </c>
      <c r="U122" s="51" t="n">
        <f aca="false">S122-2*R122</f>
        <v>-6.52354855826772</v>
      </c>
      <c r="V122" s="50" t="n">
        <f aca="false">-526*SIN(U122)+44*SIN(P122+U122)-31*SIN(-P122+U122)-23*SIN(Q122+U122)+11*SIN(-Q122+U122)-25*SIN(-2*P122+S122)+21*SIN(-P122+S122)</f>
        <v>116.469509166853</v>
      </c>
      <c r="W122" s="51" t="n">
        <f aca="false">2*PI()*(N122+O122/1296000-INT(N122+O122/1296000))</f>
        <v>0.738047695952997</v>
      </c>
      <c r="X122" s="46" t="n">
        <f aca="false">W122*180/PI()</f>
        <v>42.2870180574613</v>
      </c>
      <c r="Y122" s="51" t="n">
        <f aca="false">(18520*SIN(T122)+V122)/206264.8062</f>
        <v>-0.0162819990964439</v>
      </c>
      <c r="Z122" s="51" t="n">
        <f aca="false">Y122*180/PI()</f>
        <v>-0.932889830262057</v>
      </c>
      <c r="AA122" s="51" t="n">
        <f aca="false">COS(Y122)*COS(W122)</f>
        <v>0.739685508141411</v>
      </c>
      <c r="AB122" s="51" t="n">
        <f aca="false">COS(Y122)*SIN(W122)</f>
        <v>0.672755727568929</v>
      </c>
      <c r="AC122" s="51" t="n">
        <f aca="false">SIN(Y122)</f>
        <v>-0.0162812797035032</v>
      </c>
      <c r="AD122" s="51" t="n">
        <f aca="false">COS($A$10*(23.4393-46.815*L122/3600))*AB122-SIN($A$10*(23.4393-46.815*L122/3600))*AC122</f>
        <v>0.623730398125925</v>
      </c>
      <c r="AE122" s="51" t="n">
        <f aca="false">SIN($A$10*(23.4393-46.815*L122/3600))*AB122+COS($A$10*(23.4393-46.815*L122/3600))*AC122</f>
        <v>0.252637565495033</v>
      </c>
      <c r="AF122" s="51" t="n">
        <f aca="false">SQRT(1-AE122*AE122)</f>
        <v>0.967560985416807</v>
      </c>
      <c r="AG122" s="46" t="n">
        <f aca="false">ATAN(AE122/AF122)/$A$10</f>
        <v>14.6336447874102</v>
      </c>
      <c r="AH122" s="51" t="n">
        <f aca="false">IF(24*ATAN(AD122/(AA122+AF122))/PI()&gt;0,24*ATAN(AD122/(AA122+AF122))/PI(),24*ATAN(AD122/(AA122+AF122))/PI()+24)</f>
        <v>2.67592234951257</v>
      </c>
      <c r="AI122" s="46" t="n">
        <f aca="false">IF(M122-15*AH122&gt;0,M122-15*AH122,360+M122-15*AH122)</f>
        <v>193.768898245674</v>
      </c>
      <c r="AJ122" s="48" t="n">
        <f aca="false">0.950724+0.051818*COS(P122)+0.009531*COS(2*R122-P122)+0.007843*COS(2*R122)+0.002824*COS(2*P122)+0.000857*COS(2*R122+P122)+0.000533*COS(2*R122-Q122)*(1-0.002495*(J122-2415020)/36525)+0.000401*COS(2*R122-Q122-P122)*(1-0.002495*(J122-2415020)/36525)+0.00032*COS(P122-Q122)*(1-0.002495*(J122-2415020)/36525)-0.000271*COS(R122)</f>
        <v>0.920232409812441</v>
      </c>
      <c r="AK122" s="51" t="n">
        <f aca="false">ASIN(COS($A$10*$B$5)*COS($A$10*AG122)*COS($A$10*AI122)+SIN($A$10*$B$5)*SIN($A$10*AG122))/$A$10</f>
        <v>-24.2382846152852</v>
      </c>
      <c r="AL122" s="48" t="n">
        <f aca="false">ASIN((0.9983271+0.0016764*COS($A$10*2*$B$5))*COS($A$10*AK122)*SIN($A$10*AJ122))/$A$10</f>
        <v>0.83745604470092</v>
      </c>
      <c r="AM122" s="48" t="n">
        <f aca="false">AK122-AL122</f>
        <v>-25.0757406599861</v>
      </c>
      <c r="AN122" s="46" t="n">
        <f aca="false"> MOD(280.4664567 + 360007.6982779*L122/10 + 0.03032028*L122^2/100 + L122^3/49931000,360)</f>
        <v>38.913517143068</v>
      </c>
      <c r="AO122" s="48" t="n">
        <f aca="false"> AN122 + (1.9146 - 0.004817*L122 - 0.000014*L122^2)*SIN(Q122)+ (0.019993 - 0.000101*L122)*SIN(2*Q122)+ 0.00029*SIN(3*Q122)</f>
        <v>40.6237002168461</v>
      </c>
      <c r="AP122" s="48" t="n">
        <f aca="false">ACOS(COS(W122-$A$10*AO122)*COS(Y122))/$A$10</f>
        <v>1.90700424108002</v>
      </c>
      <c r="AQ122" s="50" t="n">
        <f aca="false">180 - AP122 -0.1468*(1-0.0549*SIN(Q122))*SIN($A$10*AP122)/(1-0.0167*SIN($A$10*AO122))</f>
        <v>178.08830148456</v>
      </c>
      <c r="AR122" s="44" t="n">
        <f aca="false">SIN($A$10*AI122)</f>
        <v>-0.238006263566499</v>
      </c>
      <c r="AS122" s="44" t="n">
        <f aca="false">COS($A$10*AI122)*SIN($A$10*$B$5) - TAN($A$10*AG122)*COS($A$10*$B$5)</f>
        <v>-0.911867854308421</v>
      </c>
      <c r="AT122" s="71" t="n">
        <f aca="false">IF(OR(AND(AR122*AS122&gt;0), AND(AR122&lt;0,AS122&gt;0)), MOD(ATAN2(AS122,AR122)/$A$10+360,360),  ATAN2(AS122,AR122)/$A$10)</f>
        <v>194.628385888104</v>
      </c>
      <c r="AU122" s="39" t="n">
        <f aca="false"> 385000.56 + (-20905355*COS(P122) - 3699111*COS(2*R122-P122) - 2955968*COS(2*R122) - 569925*COS(2*P122) + (1-0.002516*L122)*48888*COS(Q122) - 3149*COS(2*S122)  +246158*COS(2*R122-2*P122) -(1 - 0.002516*L122)*152138*COS(2*R122-Q122-P122) -170733*COS(2*R122+P122) -(1 - 0.002516*L122)*204586*COS(2*R122-Q122) -(1 - 0.002516*L122)*129620*COS(Q122-P122)  + 108743*COS(R122) +(1-0.002516*L122)*104755*COS(Q122+P122) +10321*COS(2*R122-2*S122) +79661*COS(P122-2*S122) -34782*COS(4*R122-P122) -23210*COS(3*P122)  -21636*COS(4*R122-2*P122) +(1 - 0.002516*L122)*24208*COS(2*R122+Q122-P122) +(1 - 0.002516*L122)*30824*COS(2*R122+Q122) -8379*COS(R122-P122) -(1 - 0.002516*L122)*16675*COS(R122+Q122)  -(1 - 0.002516*L122)*12831*COS(2*R122-Q122+P122) -10445*COS(2*R122+2*P122) -11650*COS(4*R122) +14403*COS(2*R122-3*P122) -(1-0.002516*L122)*7003*COS(Q122-2*P122)  + (1 - 0.002516*L122)*10056*COS(2*R122-Q122-2*P122) +6322*COS(R122+P122) -(1 - 0.002516*L122)*(1-0.002516*L122)*9884*COS(2*R122-2*Q122) +(1-0.002516*L122)*5751*COS(Q122+2*P122) - (1-0.002516*L122)^2*4950*COS(2*R122-2*Q122-P122)  +4130*COS(2*R122+P122-2*S122) -(1-0.002516*L122)*3958*COS(4*R122-Q122-P122) +3258*COS(3*R122-P122) +(1 - 0.002516*L122)*2616*COS(2*R122+Q122+P122) -(1 - 0.002516*L122)*1897*COS(4*R122-Q122-2*P122)  -(1-0.002516*L122)^2*2117*COS(2*Q122-P122) +(1-0.002516*L122)^2*2354*COS(2*R122+2*Q122-P122) -1423*COS(4*R122+P122) -1117*COS(4*P122) -(1-0.002516*L122)*1571*COS(4*R122-Q122)  -1739*COS(R122-2*P122) -4421*COS(2*P122-2*S122) +(1-0.002516*L122)^2*1165*COS(2*Q122+P122) +8752*COS(2*R122-P122-2*S122))/1000</f>
        <v>396972.68321583</v>
      </c>
      <c r="AV122" s="72" t="n">
        <f aca="false">ATAN(0.99664719*TAN($A$10*input!$E$2))</f>
        <v>0.871010436227447</v>
      </c>
      <c r="AW122" s="72" t="n">
        <f aca="false">COS(AV122)</f>
        <v>0.644053912545845</v>
      </c>
      <c r="AX122" s="72" t="n">
        <f aca="false">0.99664719*SIN(AV122)</f>
        <v>0.762415269897027</v>
      </c>
      <c r="AY122" s="72" t="n">
        <f aca="false">6378.14/AU122</f>
        <v>0.0160669493636978</v>
      </c>
      <c r="AZ122" s="73" t="n">
        <f aca="false">M122-15*AH122</f>
        <v>193.768898245674</v>
      </c>
      <c r="BA122" s="74" t="n">
        <f aca="false">COS($A$10*AG122)*SIN($A$10*AZ122)</f>
        <v>-0.230285574911774</v>
      </c>
      <c r="BB122" s="74" t="n">
        <f aca="false">COS($A$10*AG122)*COS($A$10*AZ122)-AW122*AY122</f>
        <v>-0.950104766352834</v>
      </c>
      <c r="BC122" s="74" t="n">
        <f aca="false">SIN($A$10*AG122)-AX122*AY122</f>
        <v>0.240387877959488</v>
      </c>
      <c r="BD122" s="75" t="n">
        <f aca="false">SQRT(BA122^2+BB122^2+BC122^2)</f>
        <v>1.00673573738528</v>
      </c>
      <c r="BE122" s="58" t="n">
        <f aca="false">AU122*BD122</f>
        <v>399646.586959102</v>
      </c>
      <c r="BH122" s="69"/>
      <c r="BI122" s="69"/>
      <c r="BJ122" s="69"/>
      <c r="BK122" s="69"/>
      <c r="BL122" s="69"/>
    </row>
    <row r="123" customFormat="false" ht="15" hidden="false" customHeight="false" outlineLevel="0" collapsed="false">
      <c r="D123" s="41" t="n">
        <f aca="false">K123-INT(275*E123/9)+IF($A$8="common year",2,1)*INT((E123+9)/12)+30</f>
        <v>2</v>
      </c>
      <c r="E123" s="41" t="n">
        <f aca="false">IF(K123&lt;32,1,INT(9*(IF($A$8="common year",2,1)+K123)/275+0.98))</f>
        <v>5</v>
      </c>
      <c r="F123" s="42" t="n">
        <f aca="false">AM123</f>
        <v>-21.7183613107015</v>
      </c>
      <c r="G123" s="60" t="n">
        <f aca="false">F123+1.02/(TAN($A$10*(F123+10.3/(F123+5.11)))*60)</f>
        <v>-21.7597323252917</v>
      </c>
      <c r="H123" s="43" t="n">
        <f aca="false">100*(1+COS($A$10*AQ123))/2</f>
        <v>1.27670403689056</v>
      </c>
      <c r="I123" s="43" t="n">
        <f aca="false">IF(AI123&gt;180,AT123-180,AT123+180)</f>
        <v>2.79955378026088</v>
      </c>
      <c r="J123" s="61" t="n">
        <f aca="false">$J$2+K122</f>
        <v>2459701.5</v>
      </c>
      <c r="K123" s="21" t="n">
        <v>122</v>
      </c>
      <c r="L123" s="62" t="n">
        <f aca="false">(J123-2451545)/36525</f>
        <v>0.22331279945243</v>
      </c>
      <c r="M123" s="63" t="n">
        <f aca="false">MOD(280.46061837+360.98564736629*(J123-2451545)+0.000387933*L123^2-L123^3/38710000+$B$7,360)</f>
        <v>234.893380859867</v>
      </c>
      <c r="N123" s="30" t="n">
        <f aca="false">0.606433+1336.855225*L123 - INT(0.606433+1336.855225*L123)</f>
        <v>0.143315757357982</v>
      </c>
      <c r="O123" s="35" t="n">
        <f aca="false">22640*SIN(P123)-4586*SIN(P123-2*R123)+2370*SIN(2*R123)+769*SIN(2*P123)-668*SIN(Q123)-412*SIN(2*S123)-212*SIN(2*P123-2*R123)-206*SIN(P123+Q123-2*R123)+192*SIN(P123+2*R123)-165*SIN(Q123-2*R123)-125*SIN(R123)-110*SIN(P123+Q123)+148*SIN(P123-Q123)-55*SIN(2*S123-2*R123)</f>
        <v>10595.9042530343</v>
      </c>
      <c r="P123" s="32" t="n">
        <f aca="false">2*PI()*(0.374897+1325.55241*L123 - INT(0.374897+1325.55241*L123))</f>
        <v>2.43609460367921</v>
      </c>
      <c r="Q123" s="36" t="n">
        <f aca="false">2*PI()*(0.993133+99.997361*L123 - INT(0.993133+99.997361*L123))</f>
        <v>2.03464382867615</v>
      </c>
      <c r="R123" s="36" t="n">
        <f aca="false">2*PI()*(0.827361+1236.853086*L123 - INT(0.827361+1236.853086*L123))</f>
        <v>0.204116475466579</v>
      </c>
      <c r="S123" s="36" t="n">
        <f aca="false">2*PI()*(0.259086+1342.227825*L123 - INT(0.259086+1342.227825*L123))</f>
        <v>6.25641330612757</v>
      </c>
      <c r="T123" s="36" t="n">
        <f aca="false">S123+(O123+412*SIN(2*S123)+541*SIN(Q123))/206264.8062</f>
        <v>6.31002250686985</v>
      </c>
      <c r="U123" s="36" t="n">
        <f aca="false">S123-2*R123</f>
        <v>5.84818035519441</v>
      </c>
      <c r="V123" s="34" t="n">
        <f aca="false">-526*SIN(U123)+44*SIN(P123+U123)-31*SIN(-P123+U123)-23*SIN(Q123+U123)+11*SIN(-Q123+U123)-25*SIN(-2*P123+S123)+21*SIN(-P123+S123)</f>
        <v>202.348736908584</v>
      </c>
      <c r="W123" s="36" t="n">
        <f aca="false">2*PI()*(N123+O123/1296000-INT(N123+O123/1296000))</f>
        <v>0.951849854374964</v>
      </c>
      <c r="X123" s="35" t="n">
        <f aca="false">W123*180/PI()</f>
        <v>54.5369793858275</v>
      </c>
      <c r="Y123" s="36" t="n">
        <f aca="false">(18520*SIN(T123)+V123)/206264.8062</f>
        <v>0.00339037001862351</v>
      </c>
      <c r="Z123" s="36" t="n">
        <f aca="false">Y123*180/PI()</f>
        <v>0.194253893054818</v>
      </c>
      <c r="AA123" s="36" t="n">
        <f aca="false">COS(Y123)*COS(W123)</f>
        <v>0.580174060390737</v>
      </c>
      <c r="AB123" s="36" t="n">
        <f aca="false">COS(Y123)*SIN(W123)</f>
        <v>0.814485460327503</v>
      </c>
      <c r="AC123" s="36" t="n">
        <f aca="false">SIN(Y123)</f>
        <v>0.00339036352346437</v>
      </c>
      <c r="AD123" s="36" t="n">
        <f aca="false">COS($A$10*(23.4393-46.815*L123/3600))*AB123-SIN($A$10*(23.4393-46.815*L123/3600))*AC123</f>
        <v>0.745943717357132</v>
      </c>
      <c r="AE123" s="36" t="n">
        <f aca="false">SIN($A$10*(23.4393-46.815*L123/3600))*AB123+COS($A$10*(23.4393-46.815*L123/3600))*AC123</f>
        <v>0.327056616176998</v>
      </c>
      <c r="AF123" s="36" t="n">
        <f aca="false">SQRT(1-AE123*AE123)</f>
        <v>0.945004745921867</v>
      </c>
      <c r="AG123" s="35" t="n">
        <f aca="false">ATAN(AE123/AF123)/$A$10</f>
        <v>19.0902211106534</v>
      </c>
      <c r="AH123" s="36" t="n">
        <f aca="false">IF(24*ATAN(AD123/(AA123+AF123))/PI()&gt;0,24*ATAN(AD123/(AA123+AF123))/PI(),24*ATAN(AD123/(AA123+AF123))/PI()+24)</f>
        <v>3.47501508517697</v>
      </c>
      <c r="AI123" s="63" t="n">
        <f aca="false">IF(M123-15*AH123&gt;0,M123-15*AH123,360+M123-15*AH123)</f>
        <v>182.768154582212</v>
      </c>
      <c r="AJ123" s="32" t="n">
        <f aca="false">0.950724+0.051818*COS(P123)+0.009531*COS(2*R123-P123)+0.007843*COS(2*R123)+0.002824*COS(2*P123)+0.000857*COS(2*R123+P123)+0.000533*COS(2*R123-Q123)*(1-0.002495*(J123-2415020)/36525)+0.000401*COS(2*R123-Q123-P123)*(1-0.002495*(J123-2415020)/36525)+0.00032*COS(P123-Q123)*(1-0.002495*(J123-2415020)/36525)-0.000271*COS(R123)</f>
        <v>0.913654636423958</v>
      </c>
      <c r="AK123" s="36" t="n">
        <f aca="false">ASIN(COS($A$10*$B$5)*COS($A$10*AG123)*COS($A$10*AI123)+SIN($A$10*$B$5)*SIN($A$10*AG123))/$A$10</f>
        <v>-20.8663110020928</v>
      </c>
      <c r="AL123" s="32" t="n">
        <f aca="false">ASIN((0.9983271+0.0016764*COS($A$10*2*$B$5))*COS($A$10*AK123)*SIN($A$10*AJ123))/$A$10</f>
        <v>0.852050308608663</v>
      </c>
      <c r="AM123" s="32" t="n">
        <f aca="false">AK123-AL123</f>
        <v>-21.7183613107015</v>
      </c>
      <c r="AN123" s="35" t="n">
        <f aca="false"> MOD(280.4664567 + 360007.6982779*L123/10 + 0.03032028*L123^2/100 + L123^3/49931000,360)</f>
        <v>39.89916450688</v>
      </c>
      <c r="AO123" s="32" t="n">
        <f aca="false"> AN123 + (1.9146 - 0.004817*L123 - 0.000014*L123^2)*SIN(Q123)+ (0.019993 - 0.000101*L123)*SIN(2*Q123)+ 0.00029*SIN(3*Q123)</f>
        <v>41.5944681046599</v>
      </c>
      <c r="AP123" s="32" t="n">
        <f aca="false">ACOS(COS(W123-$A$10*AO123)*COS(Y123))/$A$10</f>
        <v>12.943944098628</v>
      </c>
      <c r="AQ123" s="34" t="n">
        <f aca="false">180 - AP123 -0.1468*(1-0.0549*SIN(Q123))*SIN($A$10*AP123)/(1-0.0167*SIN($A$10*AO123))</f>
        <v>167.024437026405</v>
      </c>
      <c r="AR123" s="64" t="n">
        <f aca="false">SIN($A$10*AI123)</f>
        <v>-0.0482946184444356</v>
      </c>
      <c r="AS123" s="64" t="n">
        <f aca="false">COS($A$10*AI123)*SIN($A$10*$B$5) - TAN($A$10*AG123)*COS($A$10*$B$5)</f>
        <v>-0.98761288391178</v>
      </c>
      <c r="AT123" s="24" t="n">
        <f aca="false">IF(OR(AND(AR123*AS123&gt;0), AND(AR123&lt;0,AS123&gt;0)), MOD(ATAN2(AS123,AR123)/$A$10+360,360),  ATAN2(AS123,AR123)/$A$10)</f>
        <v>182.799553780261</v>
      </c>
      <c r="AU123" s="39" t="n">
        <f aca="false"> 385000.56 + (-20905355*COS(P123) - 3699111*COS(2*R123-P123) - 2955968*COS(2*R123) - 569925*COS(2*P123) + (1-0.002516*L123)*48888*COS(Q123) - 3149*COS(2*S123)  +246158*COS(2*R123-2*P123) -(1 - 0.002516*L123)*152138*COS(2*R123-Q123-P123) -170733*COS(2*R123+P123) -(1 - 0.002516*L123)*204586*COS(2*R123-Q123) -(1 - 0.002516*L123)*129620*COS(Q123-P123)  + 108743*COS(R123) +(1-0.002516*L123)*104755*COS(Q123+P123) +10321*COS(2*R123-2*S123) +79661*COS(P123-2*S123) -34782*COS(4*R123-P123) -23210*COS(3*P123)  -21636*COS(4*R123-2*P123) +(1 - 0.002516*L123)*24208*COS(2*R123+Q123-P123) +(1 - 0.002516*L123)*30824*COS(2*R123+Q123) -8379*COS(R123-P123) -(1 - 0.002516*L123)*16675*COS(R123+Q123)  -(1 - 0.002516*L123)*12831*COS(2*R123-Q123+P123) -10445*COS(2*R123+2*P123) -11650*COS(4*R123) +14403*COS(2*R123-3*P123) -(1-0.002516*L123)*7003*COS(Q123-2*P123)  + (1 - 0.002516*L123)*10056*COS(2*R123-Q123-2*P123) +6322*COS(R123+P123) -(1 - 0.002516*L123)*(1-0.002516*L123)*9884*COS(2*R123-2*Q123) +(1-0.002516*L123)*5751*COS(Q123+2*P123) - (1-0.002516*L123)^2*4950*COS(2*R123-2*Q123-P123)  +4130*COS(2*R123+P123-2*S123) -(1-0.002516*L123)*3958*COS(4*R123-Q123-P123) +3258*COS(3*R123-P123) +(1 - 0.002516*L123)*2616*COS(2*R123+Q123+P123) -(1 - 0.002516*L123)*1897*COS(4*R123-Q123-2*P123)  -(1-0.002516*L123)^2*2117*COS(2*Q123-P123) +(1-0.002516*L123)^2*2354*COS(2*R123+2*Q123-P123) -1423*COS(4*R123+P123) -1117*COS(4*P123) -(1-0.002516*L123)*1571*COS(4*R123-Q123)  -1739*COS(R123-2*P123) -4421*COS(2*P123-2*S123) +(1-0.002516*L123)^2*1165*COS(2*Q123+P123) +8752*COS(2*R123-P123-2*S123))/1000</f>
        <v>399856.095398932</v>
      </c>
      <c r="AV123" s="54" t="n">
        <f aca="false">ATAN(0.99664719*TAN($A$10*input!$E$2))</f>
        <v>0.871010436227447</v>
      </c>
      <c r="AW123" s="54" t="n">
        <f aca="false">COS(AV123)</f>
        <v>0.644053912545845</v>
      </c>
      <c r="AX123" s="54" t="n">
        <f aca="false">0.99664719*SIN(AV123)</f>
        <v>0.762415269897027</v>
      </c>
      <c r="AY123" s="54" t="n">
        <f aca="false">6378.14/AU123</f>
        <v>0.0159510885875995</v>
      </c>
      <c r="AZ123" s="55" t="n">
        <f aca="false">M123-15*AH123</f>
        <v>182.768154582212</v>
      </c>
      <c r="BA123" s="56" t="n">
        <f aca="false">COS($A$10*AG123)*SIN($A$10*AZ123)</f>
        <v>-0.0456386436324774</v>
      </c>
      <c r="BB123" s="56" t="n">
        <f aca="false">COS($A$10*AG123)*COS($A$10*AZ123)-AW123*AY123</f>
        <v>-0.954175413147924</v>
      </c>
      <c r="BC123" s="56" t="n">
        <f aca="false">SIN($A$10*AG123)-AX123*AY123</f>
        <v>0.314895262666332</v>
      </c>
      <c r="BD123" s="57" t="n">
        <f aca="false">SQRT(BA123^2+BB123^2+BC123^2)</f>
        <v>1.00582932513341</v>
      </c>
      <c r="BE123" s="58" t="n">
        <f aca="false">AU123*BD123</f>
        <v>402186.986585587</v>
      </c>
    </row>
    <row r="124" customFormat="false" ht="15" hidden="false" customHeight="false" outlineLevel="0" collapsed="false">
      <c r="D124" s="41" t="n">
        <f aca="false">K124-INT(275*E124/9)+IF($A$8="common year",2,1)*INT((E124+9)/12)+30</f>
        <v>3</v>
      </c>
      <c r="E124" s="41" t="n">
        <f aca="false">IF(K124&lt;32,1,INT(9*(IF($A$8="common year",2,1)+K124)/275+0.98))</f>
        <v>5</v>
      </c>
      <c r="F124" s="42" t="n">
        <f aca="false">AM124</f>
        <v>-17.7735307137421</v>
      </c>
      <c r="G124" s="60" t="n">
        <f aca="false">F124+1.02/(TAN($A$10*(F124+10.3/(F124+5.11)))*60)</f>
        <v>-17.824083452458</v>
      </c>
      <c r="H124" s="43" t="n">
        <f aca="false">100*(1+COS($A$10*AQ124))/2</f>
        <v>4.3720966116356</v>
      </c>
      <c r="I124" s="43" t="n">
        <f aca="false">IF(AI124&gt;180,AT124-180,AT124+180)</f>
        <v>351.665770661582</v>
      </c>
      <c r="J124" s="61" t="n">
        <f aca="false">$J$2+K123</f>
        <v>2459702.5</v>
      </c>
      <c r="K124" s="21" t="n">
        <v>123</v>
      </c>
      <c r="L124" s="62" t="n">
        <f aca="false">(J124-2451545)/36525</f>
        <v>0.223340177960301</v>
      </c>
      <c r="M124" s="63" t="n">
        <f aca="false">MOD(280.46061837+360.98564736629*(J124-2451545)+0.000387933*L124^2-L124^3/38710000+$B$7,360)</f>
        <v>235.879028230906</v>
      </c>
      <c r="N124" s="30" t="n">
        <f aca="false">0.606433+1336.855225*L124 - INT(0.606433+1336.855225*L124)</f>
        <v>0.17991685865843</v>
      </c>
      <c r="O124" s="35" t="n">
        <f aca="false">22640*SIN(P124)-4586*SIN(P124-2*R124)+2370*SIN(2*R124)+769*SIN(2*P124)-668*SIN(Q124)-412*SIN(2*S124)-212*SIN(2*P124-2*R124)-206*SIN(P124+Q124-2*R124)+192*SIN(P124+2*R124)-165*SIN(Q124-2*R124)-125*SIN(R124)-110*SIN(P124+Q124)+148*SIN(P124-Q124)-55*SIN(2*S124-2*R124)</f>
        <v>6634.23065947896</v>
      </c>
      <c r="P124" s="32" t="n">
        <f aca="false">2*PI()*(0.374897+1325.55241*L124 - INT(0.374897+1325.55241*L124))</f>
        <v>2.66412174745503</v>
      </c>
      <c r="Q124" s="36" t="n">
        <f aca="false">2*PI()*(0.993133+99.997361*L124 - INT(0.993133+99.997361*L124))</f>
        <v>2.05184579854316</v>
      </c>
      <c r="R124" s="36" t="n">
        <f aca="false">2*PI()*(0.827361+1236.853086*L124 - INT(0.827361+1236.853086*L124))</f>
        <v>0.416885185585603</v>
      </c>
      <c r="S124" s="36" t="n">
        <f aca="false">2*PI()*(0.259086+1342.227825*L124 - INT(0.259086+1342.227825*L124))</f>
        <v>0.204123718288986</v>
      </c>
      <c r="T124" s="36" t="n">
        <f aca="false">S124+(O124+412*SIN(2*S124)+541*SIN(Q124))/206264.8062</f>
        <v>0.239405534801545</v>
      </c>
      <c r="U124" s="36" t="n">
        <f aca="false">S124-2*R124</f>
        <v>-0.629646652882221</v>
      </c>
      <c r="V124" s="34" t="n">
        <f aca="false">-526*SIN(U124)+44*SIN(P124+U124)-31*SIN(-P124+U124)-23*SIN(Q124+U124)+11*SIN(-Q124+U124)-25*SIN(-2*P124+S124)+21*SIN(-P124+S124)</f>
        <v>280.622499631572</v>
      </c>
      <c r="W124" s="36" t="n">
        <f aca="false">2*PI()*(N124+O124/1296000-INT(N124+O124/1296000))</f>
        <v>1.16261462071007</v>
      </c>
      <c r="X124" s="35" t="n">
        <f aca="false">W124*180/PI()</f>
        <v>66.6129109668901</v>
      </c>
      <c r="Y124" s="36" t="n">
        <f aca="false">(18520*SIN(T124)+V124)/206264.8062</f>
        <v>0.022651369901024</v>
      </c>
      <c r="Z124" s="36" t="n">
        <f aca="false">Y124*180/PI()</f>
        <v>1.29782789551834</v>
      </c>
      <c r="AA124" s="36" t="n">
        <f aca="false">COS(Y124)*COS(W124)</f>
        <v>0.396839246938202</v>
      </c>
      <c r="AB124" s="36" t="n">
        <f aca="false">COS(Y124)*SIN(W124)</f>
        <v>0.917608639495644</v>
      </c>
      <c r="AC124" s="36" t="n">
        <f aca="false">SIN(Y124)</f>
        <v>0.0226494329393621</v>
      </c>
      <c r="AD124" s="36" t="n">
        <f aca="false">COS($A$10*(23.4393-46.815*L124/3600))*AB124-SIN($A$10*(23.4393-46.815*L124/3600))*AC124</f>
        <v>0.832899534406784</v>
      </c>
      <c r="AE124" s="36" t="n">
        <f aca="false">SIN($A$10*(23.4393-46.815*L124/3600))*AB124+COS($A$10*(23.4393-46.815*L124/3600))*AC124</f>
        <v>0.385742112912867</v>
      </c>
      <c r="AF124" s="36" t="n">
        <f aca="false">SQRT(1-AE124*AE124)</f>
        <v>0.922606645502577</v>
      </c>
      <c r="AG124" s="35" t="n">
        <f aca="false">ATAN(AE124/AF124)/$A$10</f>
        <v>22.6898192665198</v>
      </c>
      <c r="AH124" s="36" t="n">
        <f aca="false">IF(24*ATAN(AD124/(AA124+AF124))/PI()&gt;0,24*ATAN(AD124/(AA124+AF124))/PI(),24*ATAN(AD124/(AA124+AF124))/PI()+24)</f>
        <v>4.30161973600971</v>
      </c>
      <c r="AI124" s="63" t="n">
        <f aca="false">IF(M124-15*AH124&gt;0,M124-15*AH124,360+M124-15*AH124)</f>
        <v>171.35473219076</v>
      </c>
      <c r="AJ124" s="32" t="n">
        <f aca="false">0.950724+0.051818*COS(P124)+0.009531*COS(2*R124-P124)+0.007843*COS(2*R124)+0.002824*COS(2*P124)+0.000857*COS(2*R124+P124)+0.000533*COS(2*R124-Q124)*(1-0.002495*(J124-2415020)/36525)+0.000401*COS(2*R124-Q124-P124)*(1-0.002495*(J124-2415020)/36525)+0.00032*COS(P124-Q124)*(1-0.002495*(J124-2415020)/36525)-0.000271*COS(R124)</f>
        <v>0.908256293431913</v>
      </c>
      <c r="AK124" s="36" t="n">
        <f aca="false">ASIN(COS($A$10*$B$5)*COS($A$10*AG124)*COS($A$10*AI124)+SIN($A$10*$B$5)*SIN($A$10*AG124))/$A$10</f>
        <v>-16.9062374312509</v>
      </c>
      <c r="AL124" s="32" t="n">
        <f aca="false">ASIN((0.9983271+0.0016764*COS($A$10*2*$B$5))*COS($A$10*AK124)*SIN($A$10*AJ124))/$A$10</f>
        <v>0.867293282491241</v>
      </c>
      <c r="AM124" s="32" t="n">
        <f aca="false">AK124-AL124</f>
        <v>-17.7735307137421</v>
      </c>
      <c r="AN124" s="35" t="n">
        <f aca="false"> MOD(280.4664567 + 360007.6982779*L124/10 + 0.03032028*L124^2/100 + L124^3/49931000,360)</f>
        <v>40.8848118706919</v>
      </c>
      <c r="AO124" s="32" t="n">
        <f aca="false"> AN124 + (1.9146 - 0.004817*L124 - 0.000014*L124^2)*SIN(Q124)+ (0.019993 - 0.000101*L124)*SIN(2*Q124)+ 0.00029*SIN(3*Q124)</f>
        <v>42.5647486609446</v>
      </c>
      <c r="AP124" s="32" t="n">
        <f aca="false">ACOS(COS(W124-$A$10*AO124)*COS(Y124))/$A$10</f>
        <v>24.0810791871473</v>
      </c>
      <c r="AQ124" s="34" t="n">
        <f aca="false">180 - AP124 -0.1468*(1-0.0549*SIN(Q124))*SIN($A$10*AP124)/(1-0.0167*SIN($A$10*AO124))</f>
        <v>155.861286333471</v>
      </c>
      <c r="AR124" s="64" t="n">
        <f aca="false">SIN($A$10*AI124)</f>
        <v>0.150316485735726</v>
      </c>
      <c r="AS124" s="64" t="n">
        <f aca="false">COS($A$10*AI124)*SIN($A$10*$B$5) - TAN($A$10*AG124)*COS($A$10*$B$5)</f>
        <v>-1.02609028236372</v>
      </c>
      <c r="AT124" s="24" t="n">
        <f aca="false">IF(OR(AND(AR124*AS124&gt;0), AND(AR124&lt;0,AS124&gt;0)), MOD(ATAN2(AS124,AR124)/$A$10+360,360),  ATAN2(AS124,AR124)/$A$10)</f>
        <v>171.665770661582</v>
      </c>
      <c r="AU124" s="39" t="n">
        <f aca="false"> 385000.56 + (-20905355*COS(P124) - 3699111*COS(2*R124-P124) - 2955968*COS(2*R124) - 569925*COS(2*P124) + (1-0.002516*L124)*48888*COS(Q124) - 3149*COS(2*S124)  +246158*COS(2*R124-2*P124) -(1 - 0.002516*L124)*152138*COS(2*R124-Q124-P124) -170733*COS(2*R124+P124) -(1 - 0.002516*L124)*204586*COS(2*R124-Q124) -(1 - 0.002516*L124)*129620*COS(Q124-P124)  + 108743*COS(R124) +(1-0.002516*L124)*104755*COS(Q124+P124) +10321*COS(2*R124-2*S124) +79661*COS(P124-2*S124) -34782*COS(4*R124-P124) -23210*COS(3*P124)  -21636*COS(4*R124-2*P124) +(1 - 0.002516*L124)*24208*COS(2*R124+Q124-P124) +(1 - 0.002516*L124)*30824*COS(2*R124+Q124) -8379*COS(R124-P124) -(1 - 0.002516*L124)*16675*COS(R124+Q124)  -(1 - 0.002516*L124)*12831*COS(2*R124-Q124+P124) -10445*COS(2*R124+2*P124) -11650*COS(4*R124) +14403*COS(2*R124-3*P124) -(1-0.002516*L124)*7003*COS(Q124-2*P124)  + (1 - 0.002516*L124)*10056*COS(2*R124-Q124-2*P124) +6322*COS(R124+P124) -(1 - 0.002516*L124)*(1-0.002516*L124)*9884*COS(2*R124-2*Q124) +(1-0.002516*L124)*5751*COS(Q124+2*P124) - (1-0.002516*L124)^2*4950*COS(2*R124-2*Q124-P124)  +4130*COS(2*R124+P124-2*S124) -(1-0.002516*L124)*3958*COS(4*R124-Q124-P124) +3258*COS(3*R124-P124) +(1 - 0.002516*L124)*2616*COS(2*R124+Q124+P124) -(1 - 0.002516*L124)*1897*COS(4*R124-Q124-2*P124)  -(1-0.002516*L124)^2*2117*COS(2*Q124-P124) +(1-0.002516*L124)^2*2354*COS(2*R124+2*Q124-P124) -1423*COS(4*R124+P124) -1117*COS(4*P124) -(1-0.002516*L124)*1571*COS(4*R124-Q124)  -1739*COS(R124-2*P124) -4421*COS(2*P124-2*S124) +(1-0.002516*L124)^2*1165*COS(2*Q124+P124) +8752*COS(2*R124-P124-2*S124))/1000</f>
        <v>402301.349807511</v>
      </c>
      <c r="AV124" s="54" t="n">
        <f aca="false">ATAN(0.99664719*TAN($A$10*input!$E$2))</f>
        <v>0.871010436227447</v>
      </c>
      <c r="AW124" s="54" t="n">
        <f aca="false">COS(AV124)</f>
        <v>0.644053912545845</v>
      </c>
      <c r="AX124" s="54" t="n">
        <f aca="false">0.99664719*SIN(AV124)</f>
        <v>0.762415269897027</v>
      </c>
      <c r="AY124" s="54" t="n">
        <f aca="false">6378.14/AU124</f>
        <v>0.0158541352223942</v>
      </c>
      <c r="AZ124" s="55" t="n">
        <f aca="false">M124-15*AH124</f>
        <v>171.35473219076</v>
      </c>
      <c r="BA124" s="56" t="n">
        <f aca="false">COS($A$10*AG124)*SIN($A$10*AZ124)</f>
        <v>0.138682988668374</v>
      </c>
      <c r="BB124" s="56" t="n">
        <f aca="false">COS($A$10*AG124)*COS($A$10*AZ124)-AW124*AY124</f>
        <v>-0.922334840858723</v>
      </c>
      <c r="BC124" s="56" t="n">
        <f aca="false">SIN($A$10*AG124)-AX124*AY124</f>
        <v>0.373654678128301</v>
      </c>
      <c r="BD124" s="57" t="n">
        <f aca="false">SQRT(BA124^2+BB124^2+BC124^2)</f>
        <v>1.00476482248088</v>
      </c>
      <c r="BE124" s="58" t="n">
        <f aca="false">AU124*BD124</f>
        <v>404218.244323164</v>
      </c>
    </row>
    <row r="125" customFormat="false" ht="15" hidden="false" customHeight="false" outlineLevel="0" collapsed="false">
      <c r="D125" s="41" t="n">
        <f aca="false">K125-INT(275*E125/9)+IF($A$8="common year",2,1)*INT((E125+9)/12)+30</f>
        <v>4</v>
      </c>
      <c r="E125" s="41" t="n">
        <f aca="false">IF(K125&lt;32,1,INT(9*(IF($A$8="common year",2,1)+K125)/275+0.98))</f>
        <v>5</v>
      </c>
      <c r="F125" s="42" t="n">
        <f aca="false">AM125</f>
        <v>-13.4486765161413</v>
      </c>
      <c r="G125" s="60" t="n">
        <f aca="false">F125+1.02/(TAN($A$10*(F125+10.3/(F125+5.11)))*60)</f>
        <v>-13.5135509973633</v>
      </c>
      <c r="H125" s="43" t="n">
        <f aca="false">100*(1+COS($A$10*AQ125))/2</f>
        <v>9.12814181699419</v>
      </c>
      <c r="I125" s="43" t="n">
        <f aca="false">IF(AI125&gt;180,AT125-180,AT125+180)</f>
        <v>341.091174606294</v>
      </c>
      <c r="J125" s="61" t="n">
        <f aca="false">$J$2+K124</f>
        <v>2459703.5</v>
      </c>
      <c r="K125" s="21" t="n">
        <v>124</v>
      </c>
      <c r="L125" s="62" t="n">
        <f aca="false">(J125-2451545)/36525</f>
        <v>0.223367556468173</v>
      </c>
      <c r="M125" s="63" t="n">
        <f aca="false">MOD(280.46061837+360.98564736629*(J125-2451545)+0.000387933*L125^2-L125^3/38710000+$B$7,360)</f>
        <v>236.864675601944</v>
      </c>
      <c r="N125" s="30" t="n">
        <f aca="false">0.606433+1336.855225*L125 - INT(0.606433+1336.855225*L125)</f>
        <v>0.216517959958935</v>
      </c>
      <c r="O125" s="35" t="n">
        <f aca="false">22640*SIN(P125)-4586*SIN(P125-2*R125)+2370*SIN(2*R125)+769*SIN(2*P125)-668*SIN(Q125)-412*SIN(2*S125)-212*SIN(2*P125-2*R125)-206*SIN(P125+Q125-2*R125)+192*SIN(P125+2*R125)-165*SIN(Q125-2*R125)-125*SIN(R125)-110*SIN(P125+Q125)+148*SIN(P125-Q125)-55*SIN(2*S125-2*R125)</f>
        <v>2196.28248043937</v>
      </c>
      <c r="P125" s="32" t="n">
        <f aca="false">2*PI()*(0.374897+1325.55241*L125 - INT(0.374897+1325.55241*L125))</f>
        <v>2.89214889123085</v>
      </c>
      <c r="Q125" s="36" t="n">
        <f aca="false">2*PI()*(0.993133+99.997361*L125 - INT(0.993133+99.997361*L125))</f>
        <v>2.06904776841014</v>
      </c>
      <c r="R125" s="36" t="n">
        <f aca="false">2*PI()*(0.827361+1236.853086*L125 - INT(0.827361+1236.853086*L125))</f>
        <v>0.62965389570427</v>
      </c>
      <c r="S125" s="36" t="n">
        <f aca="false">2*PI()*(0.259086+1342.227825*L125 - INT(0.259086+1342.227825*L125))</f>
        <v>0.43501943762999</v>
      </c>
      <c r="T125" s="36" t="n">
        <f aca="false">S125+(O125+412*SIN(2*S125)+541*SIN(Q125))/206264.8062</f>
        <v>0.449498016634233</v>
      </c>
      <c r="U125" s="36" t="n">
        <f aca="false">S125-2*R125</f>
        <v>-0.824288353778551</v>
      </c>
      <c r="V125" s="34" t="n">
        <f aca="false">-526*SIN(U125)+44*SIN(P125+U125)-31*SIN(-P125+U125)-23*SIN(Q125+U125)+11*SIN(-Q125+U125)-25*SIN(-2*P125+S125)+21*SIN(-P125+S125)</f>
        <v>350.071257702809</v>
      </c>
      <c r="W125" s="36" t="n">
        <f aca="false">2*PI()*(N125+O125/1296000-INT(N125+O125/1296000))</f>
        <v>1.37107034269546</v>
      </c>
      <c r="X125" s="35" t="n">
        <f aca="false">W125*180/PI()</f>
        <v>78.5565440520054</v>
      </c>
      <c r="Y125" s="36" t="n">
        <f aca="false">(18520*SIN(T125)+V125)/206264.8062</f>
        <v>0.0407110688159338</v>
      </c>
      <c r="Z125" s="36" t="n">
        <f aca="false">Y125*180/PI()</f>
        <v>2.33257242261966</v>
      </c>
      <c r="AA125" s="36" t="n">
        <f aca="false">COS(Y125)*COS(W125)</f>
        <v>0.198236378383675</v>
      </c>
      <c r="AB125" s="36" t="n">
        <f aca="false">COS(Y125)*SIN(W125)</f>
        <v>0.979308869870642</v>
      </c>
      <c r="AC125" s="36" t="n">
        <f aca="false">SIN(Y125)</f>
        <v>0.0406998240538044</v>
      </c>
      <c r="AD125" s="36" t="n">
        <f aca="false">COS($A$10*(23.4393-46.815*L125/3600))*AB125-SIN($A$10*(23.4393-46.815*L125/3600))*AC125</f>
        <v>0.882330435548503</v>
      </c>
      <c r="AE125" s="36" t="n">
        <f aca="false">SIN($A$10*(23.4393-46.815*L125/3600))*AB125+COS($A$10*(23.4393-46.815*L125/3600))*AC125</f>
        <v>0.426843461693059</v>
      </c>
      <c r="AF125" s="36" t="n">
        <f aca="false">SQRT(1-AE125*AE125)</f>
        <v>0.904325527235567</v>
      </c>
      <c r="AG125" s="35" t="n">
        <f aca="false">ATAN(AE125/AF125)/$A$10</f>
        <v>25.2674044308584</v>
      </c>
      <c r="AH125" s="36" t="n">
        <f aca="false">IF(24*ATAN(AD125/(AA125+AF125))/PI()&gt;0,24*ATAN(AD125/(AA125+AF125))/PI(),24*ATAN(AD125/(AA125+AF125))/PI()+24)</f>
        <v>5.15582776897938</v>
      </c>
      <c r="AI125" s="63" t="n">
        <f aca="false">IF(M125-15*AH125&gt;0,M125-15*AH125,360+M125-15*AH125)</f>
        <v>159.527259067254</v>
      </c>
      <c r="AJ125" s="32" t="n">
        <f aca="false">0.950724+0.051818*COS(P125)+0.009531*COS(2*R125-P125)+0.007843*COS(2*R125)+0.002824*COS(2*P125)+0.000857*COS(2*R125+P125)+0.000533*COS(2*R125-Q125)*(1-0.002495*(J125-2415020)/36525)+0.000401*COS(2*R125-Q125-P125)*(1-0.002495*(J125-2415020)/36525)+0.00032*COS(P125-Q125)*(1-0.002495*(J125-2415020)/36525)-0.000271*COS(R125)</f>
        <v>0.904372109337522</v>
      </c>
      <c r="AK125" s="36" t="n">
        <f aca="false">ASIN(COS($A$10*$B$5)*COS($A$10*AG125)*COS($A$10*AI125)+SIN($A$10*$B$5)*SIN($A$10*AG125))/$A$10</f>
        <v>-12.5677090715006</v>
      </c>
      <c r="AL125" s="32" t="n">
        <f aca="false">ASIN((0.9983271+0.0016764*COS($A$10*2*$B$5))*COS($A$10*AK125)*SIN($A$10*AJ125))/$A$10</f>
        <v>0.880967444640657</v>
      </c>
      <c r="AM125" s="32" t="n">
        <f aca="false">AK125-AL125</f>
        <v>-13.4486765161413</v>
      </c>
      <c r="AN125" s="35" t="n">
        <f aca="false"> MOD(280.4664567 + 360007.6982779*L125/10 + 0.03032028*L125^2/100 + L125^3/49931000,360)</f>
        <v>41.8704592345039</v>
      </c>
      <c r="AO125" s="32" t="n">
        <f aca="false"> AN125 + (1.9146 - 0.004817*L125 - 0.000014*L125^2)*SIN(Q125)+ (0.019993 - 0.000101*L125)*SIN(2*Q125)+ 0.00029*SIN(3*Q125)</f>
        <v>43.5345467550551</v>
      </c>
      <c r="AP125" s="32" t="n">
        <f aca="false">ACOS(COS(W125-$A$10*AO125)*COS(Y125))/$A$10</f>
        <v>35.0896850726422</v>
      </c>
      <c r="AQ125" s="34" t="n">
        <f aca="false">180 - AP125 -0.1468*(1-0.0549*SIN(Q125))*SIN($A$10*AP125)/(1-0.0167*SIN($A$10*AO125))</f>
        <v>144.829060814536</v>
      </c>
      <c r="AR125" s="64" t="n">
        <f aca="false">SIN($A$10*AI125)</f>
        <v>0.349761710036604</v>
      </c>
      <c r="AS125" s="64" t="n">
        <f aca="false">COS($A$10*AI125)*SIN($A$10*$B$5) - TAN($A$10*AG125)*COS($A$10*$B$5)</f>
        <v>-1.02105711907479</v>
      </c>
      <c r="AT125" s="24" t="n">
        <f aca="false">IF(OR(AND(AR125*AS125&gt;0), AND(AR125&lt;0,AS125&gt;0)), MOD(ATAN2(AS125,AR125)/$A$10+360,360),  ATAN2(AS125,AR125)/$A$10)</f>
        <v>161.091174606294</v>
      </c>
      <c r="AU125" s="39" t="n">
        <f aca="false"> 385000.56 + (-20905355*COS(P125) - 3699111*COS(2*R125-P125) - 2955968*COS(2*R125) - 569925*COS(2*P125) + (1-0.002516*L125)*48888*COS(Q125) - 3149*COS(2*S125)  +246158*COS(2*R125-2*P125) -(1 - 0.002516*L125)*152138*COS(2*R125-Q125-P125) -170733*COS(2*R125+P125) -(1 - 0.002516*L125)*204586*COS(2*R125-Q125) -(1 - 0.002516*L125)*129620*COS(Q125-P125)  + 108743*COS(R125) +(1-0.002516*L125)*104755*COS(Q125+P125) +10321*COS(2*R125-2*S125) +79661*COS(P125-2*S125) -34782*COS(4*R125-P125) -23210*COS(3*P125)  -21636*COS(4*R125-2*P125) +(1 - 0.002516*L125)*24208*COS(2*R125+Q125-P125) +(1 - 0.002516*L125)*30824*COS(2*R125+Q125) -8379*COS(R125-P125) -(1 - 0.002516*L125)*16675*COS(R125+Q125)  -(1 - 0.002516*L125)*12831*COS(2*R125-Q125+P125) -10445*COS(2*R125+2*P125) -11650*COS(4*R125) +14403*COS(2*R125-3*P125) -(1-0.002516*L125)*7003*COS(Q125-2*P125)  + (1 - 0.002516*L125)*10056*COS(2*R125-Q125-2*P125) +6322*COS(R125+P125) -(1 - 0.002516*L125)*(1-0.002516*L125)*9884*COS(2*R125-2*Q125) +(1-0.002516*L125)*5751*COS(Q125+2*P125) - (1-0.002516*L125)^2*4950*COS(2*R125-2*Q125-P125)  +4130*COS(2*R125+P125-2*S125) -(1-0.002516*L125)*3958*COS(4*R125-Q125-P125) +3258*COS(3*R125-P125) +(1 - 0.002516*L125)*2616*COS(2*R125+Q125+P125) -(1 - 0.002516*L125)*1897*COS(4*R125-Q125-2*P125)  -(1-0.002516*L125)^2*2117*COS(2*Q125-P125) +(1-0.002516*L125)^2*2354*COS(2*R125+2*Q125-P125) -1423*COS(4*R125+P125) -1117*COS(4*P125) -(1-0.002516*L125)*1571*COS(4*R125-Q125)  -1739*COS(R125-2*P125) -4421*COS(2*P125-2*S125) +(1-0.002516*L125)^2*1165*COS(2*Q125+P125) +8752*COS(2*R125-P125-2*S125))/1000</f>
        <v>404125.734898136</v>
      </c>
      <c r="AV125" s="54" t="n">
        <f aca="false">ATAN(0.99664719*TAN($A$10*input!$E$2))</f>
        <v>0.871010436227447</v>
      </c>
      <c r="AW125" s="54" t="n">
        <f aca="false">COS(AV125)</f>
        <v>0.644053912545845</v>
      </c>
      <c r="AX125" s="54" t="n">
        <f aca="false">0.99664719*SIN(AV125)</f>
        <v>0.762415269897027</v>
      </c>
      <c r="AY125" s="54" t="n">
        <f aca="false">6378.14/AU125</f>
        <v>0.0157825633193285</v>
      </c>
      <c r="AZ125" s="55" t="n">
        <f aca="false">M125-15*AH125</f>
        <v>159.527259067254</v>
      </c>
      <c r="BA125" s="56" t="n">
        <f aca="false">COS($A$10*AG125)*SIN($A$10*AZ125)</f>
        <v>0.316298442835665</v>
      </c>
      <c r="BB125" s="56" t="n">
        <f aca="false">COS($A$10*AG125)*COS($A$10*AZ125)-AW125*AY125</f>
        <v>-0.8573719712182</v>
      </c>
      <c r="BC125" s="56" t="n">
        <f aca="false">SIN($A$10*AG125)-AX125*AY125</f>
        <v>0.414810594420286</v>
      </c>
      <c r="BD125" s="57" t="n">
        <f aca="false">SQRT(BA125^2+BB125^2+BC125^2)</f>
        <v>1.00359316020694</v>
      </c>
      <c r="BE125" s="58" t="n">
        <f aca="false">AU125*BD125</f>
        <v>405577.823407374</v>
      </c>
    </row>
    <row r="126" customFormat="false" ht="15" hidden="false" customHeight="false" outlineLevel="0" collapsed="false">
      <c r="D126" s="41" t="n">
        <f aca="false">K126-INT(275*E126/9)+IF($A$8="common year",2,1)*INT((E126+9)/12)+30</f>
        <v>5</v>
      </c>
      <c r="E126" s="41" t="n">
        <f aca="false">IF(K126&lt;32,1,INT(9*(IF($A$8="common year",2,1)+K126)/275+0.98))</f>
        <v>5</v>
      </c>
      <c r="F126" s="42" t="n">
        <f aca="false">AM126</f>
        <v>-8.91491883469902</v>
      </c>
      <c r="G126" s="60" t="n">
        <f aca="false">F126+1.02/(TAN($A$10*(F126+10.3/(F126+5.11)))*60)</f>
        <v>-8.99757566569384</v>
      </c>
      <c r="H126" s="43" t="n">
        <f aca="false">100*(1+COS($A$10*AQ126))/2</f>
        <v>15.3331428349275</v>
      </c>
      <c r="I126" s="43" t="n">
        <f aca="false">IF(AI126&gt;180,AT126-180,AT126+180)</f>
        <v>330.901092926093</v>
      </c>
      <c r="J126" s="61" t="n">
        <f aca="false">$J$2+K125</f>
        <v>2459704.5</v>
      </c>
      <c r="K126" s="21" t="n">
        <v>125</v>
      </c>
      <c r="L126" s="62" t="n">
        <f aca="false">(J126-2451545)/36525</f>
        <v>0.223394934976044</v>
      </c>
      <c r="M126" s="63" t="n">
        <f aca="false">MOD(280.46061837+360.98564736629*(J126-2451545)+0.000387933*L126^2-L126^3/38710000+$B$7,360)</f>
        <v>237.850322972517</v>
      </c>
      <c r="N126" s="30" t="n">
        <f aca="false">0.606433+1336.855225*L126 - INT(0.606433+1336.855225*L126)</f>
        <v>0.25311906125944</v>
      </c>
      <c r="O126" s="35" t="n">
        <f aca="false">22640*SIN(P126)-4586*SIN(P126-2*R126)+2370*SIN(2*R126)+769*SIN(2*P126)-668*SIN(Q126)-412*SIN(2*S126)-212*SIN(2*P126-2*R126)-206*SIN(P126+Q126-2*R126)+192*SIN(P126+2*R126)-165*SIN(Q126-2*R126)-125*SIN(R126)-110*SIN(P126+Q126)+148*SIN(P126-Q126)-55*SIN(2*S126-2*R126)</f>
        <v>-2539.05694833095</v>
      </c>
      <c r="P126" s="32" t="n">
        <f aca="false">2*PI()*(0.374897+1325.55241*L126 - INT(0.374897+1325.55241*L126))</f>
        <v>3.12017603500667</v>
      </c>
      <c r="Q126" s="36" t="n">
        <f aca="false">2*PI()*(0.993133+99.997361*L126 - INT(0.993133+99.997361*L126))</f>
        <v>2.08624973827715</v>
      </c>
      <c r="R126" s="36" t="n">
        <f aca="false">2*PI()*(0.827361+1236.853086*L126 - INT(0.827361+1236.853086*L126))</f>
        <v>0.842422605823295</v>
      </c>
      <c r="S126" s="36" t="n">
        <f aca="false">2*PI()*(0.259086+1342.227825*L126 - INT(0.259086+1342.227825*L126))</f>
        <v>0.665915156970994</v>
      </c>
      <c r="T126" s="36" t="n">
        <f aca="false">S126+(O126+412*SIN(2*S126)+541*SIN(Q126))/206264.8062</f>
        <v>0.657828187663561</v>
      </c>
      <c r="U126" s="36" t="n">
        <f aca="false">S126-2*R126</f>
        <v>-1.0189300546756</v>
      </c>
      <c r="V126" s="34" t="n">
        <f aca="false">-526*SIN(U126)+44*SIN(P126+U126)-31*SIN(-P126+U126)-23*SIN(Q126+U126)+11*SIN(-Q126+U126)-25*SIN(-2*P126+S126)+21*SIN(-P126+S126)</f>
        <v>409.681136821601</v>
      </c>
      <c r="W126" s="36" t="n">
        <f aca="false">2*PI()*(N126+O126/1296000-INT(N126+O126/1296000))</f>
        <v>1.57808427121573</v>
      </c>
      <c r="X126" s="35" t="n">
        <f aca="false">W126*180/PI()</f>
        <v>90.4175684566398</v>
      </c>
      <c r="Y126" s="36" t="n">
        <f aca="false">(18520*SIN(T126)+V126)/206264.8062</f>
        <v>0.056882236275632</v>
      </c>
      <c r="Z126" s="36" t="n">
        <f aca="false">Y126*180/PI()</f>
        <v>3.25911206785966</v>
      </c>
      <c r="AA126" s="36" t="n">
        <f aca="false">COS(Y126)*COS(W126)</f>
        <v>-0.00727609279292046</v>
      </c>
      <c r="AB126" s="36" t="n">
        <f aca="false">COS(Y126)*SIN(W126)</f>
        <v>0.998356127763592</v>
      </c>
      <c r="AC126" s="36" t="n">
        <f aca="false">SIN(Y126)</f>
        <v>0.0568515666499634</v>
      </c>
      <c r="AD126" s="36" t="n">
        <f aca="false">COS($A$10*(23.4393-46.815*L126/3600))*AB126-SIN($A$10*(23.4393-46.815*L126/3600))*AC126</f>
        <v>0.893382293445271</v>
      </c>
      <c r="AE126" s="36" t="n">
        <f aca="false">SIN($A$10*(23.4393-46.815*L126/3600))*AB126+COS($A$10*(23.4393-46.815*L126/3600))*AC126</f>
        <v>0.449238395767922</v>
      </c>
      <c r="AF126" s="36" t="n">
        <f aca="false">SQRT(1-AE126*AE126)</f>
        <v>0.893411922781347</v>
      </c>
      <c r="AG126" s="35" t="n">
        <f aca="false">ATAN(AE126/AF126)/$A$10</f>
        <v>26.6948307072561</v>
      </c>
      <c r="AH126" s="36" t="n">
        <f aca="false">IF(24*ATAN(AD126/(AA126+AF126))/PI()&gt;0,24*ATAN(AD126/(AA126+AF126))/PI(),24*ATAN(AD126/(AA126+AF126))/PI()+24)</f>
        <v>6.03110875707078</v>
      </c>
      <c r="AI126" s="63" t="n">
        <f aca="false">IF(M126-15*AH126&gt;0,M126-15*AH126,360+M126-15*AH126)</f>
        <v>147.383691616456</v>
      </c>
      <c r="AJ126" s="32" t="n">
        <f aca="false">0.950724+0.051818*COS(P126)+0.009531*COS(2*R126-P126)+0.007843*COS(2*R126)+0.002824*COS(2*P126)+0.000857*COS(2*R126+P126)+0.000533*COS(2*R126-Q126)*(1-0.002495*(J126-2415020)/36525)+0.000401*COS(2*R126-Q126-P126)*(1-0.002495*(J126-2415020)/36525)+0.00032*COS(P126-Q126)*(1-0.002495*(J126-2415020)/36525)-0.000271*COS(R126)</f>
        <v>0.902313841709719</v>
      </c>
      <c r="AK126" s="36" t="n">
        <f aca="false">ASIN(COS($A$10*$B$5)*COS($A$10*AG126)*COS($A$10*AI126)+SIN($A$10*$B$5)*SIN($A$10*AG126))/$A$10</f>
        <v>-8.02319281662895</v>
      </c>
      <c r="AL126" s="32" t="n">
        <f aca="false">ASIN((0.9983271+0.0016764*COS($A$10*2*$B$5))*COS($A$10*AK126)*SIN($A$10*AJ126))/$A$10</f>
        <v>0.89172601807007</v>
      </c>
      <c r="AM126" s="32" t="n">
        <f aca="false">AK126-AL126</f>
        <v>-8.91491883469902</v>
      </c>
      <c r="AN126" s="35" t="n">
        <f aca="false"> MOD(280.4664567 + 360007.6982779*L126/10 + 0.03032028*L126^2/100 + L126^3/49931000,360)</f>
        <v>42.8561065983158</v>
      </c>
      <c r="AO126" s="32" t="n">
        <f aca="false"> AN126 + (1.9146 - 0.004817*L126 - 0.000014*L126^2)*SIN(Q126)+ (0.019993 - 0.000101*L126)*SIN(2*Q126)+ 0.00029*SIN(3*Q126)</f>
        <v>44.5038673816629</v>
      </c>
      <c r="AP126" s="32" t="n">
        <f aca="false">ACOS(COS(W126-$A$10*AO126)*COS(Y126))/$A$10</f>
        <v>46.0033915024437</v>
      </c>
      <c r="AQ126" s="34" t="n">
        <f aca="false">180 - AP126 -0.1468*(1-0.0549*SIN(Q126))*SIN($A$10*AP126)/(1-0.0167*SIN($A$10*AO126))</f>
        <v>133.894856692466</v>
      </c>
      <c r="AR126" s="64" t="n">
        <f aca="false">SIN($A$10*AI126)</f>
        <v>0.539010554607163</v>
      </c>
      <c r="AS126" s="64" t="n">
        <f aca="false">COS($A$10*AI126)*SIN($A$10*$B$5) - TAN($A$10*AG126)*COS($A$10*$B$5)</f>
        <v>-0.968454304208309</v>
      </c>
      <c r="AT126" s="24" t="n">
        <f aca="false">IF(OR(AND(AR126*AS126&gt;0), AND(AR126&lt;0,AS126&gt;0)), MOD(ATAN2(AS126,AR126)/$A$10+360,360),  ATAN2(AS126,AR126)/$A$10)</f>
        <v>150.901092926093</v>
      </c>
      <c r="AU126" s="39" t="n">
        <f aca="false"> 385000.56 + (-20905355*COS(P126) - 3699111*COS(2*R126-P126) - 2955968*COS(2*R126) - 569925*COS(2*P126) + (1-0.002516*L126)*48888*COS(Q126) - 3149*COS(2*S126)  +246158*COS(2*R126-2*P126) -(1 - 0.002516*L126)*152138*COS(2*R126-Q126-P126) -170733*COS(2*R126+P126) -(1 - 0.002516*L126)*204586*COS(2*R126-Q126) -(1 - 0.002516*L126)*129620*COS(Q126-P126)  + 108743*COS(R126) +(1-0.002516*L126)*104755*COS(Q126+P126) +10321*COS(2*R126-2*S126) +79661*COS(P126-2*S126) -34782*COS(4*R126-P126) -23210*COS(3*P126)  -21636*COS(4*R126-2*P126) +(1 - 0.002516*L126)*24208*COS(2*R126+Q126-P126) +(1 - 0.002516*L126)*30824*COS(2*R126+Q126) -8379*COS(R126-P126) -(1 - 0.002516*L126)*16675*COS(R126+Q126)  -(1 - 0.002516*L126)*12831*COS(2*R126-Q126+P126) -10445*COS(2*R126+2*P126) -11650*COS(4*R126) +14403*COS(2*R126-3*P126) -(1-0.002516*L126)*7003*COS(Q126-2*P126)  + (1 - 0.002516*L126)*10056*COS(2*R126-Q126-2*P126) +6322*COS(R126+P126) -(1 - 0.002516*L126)*(1-0.002516*L126)*9884*COS(2*R126-2*Q126) +(1-0.002516*L126)*5751*COS(Q126+2*P126) - (1-0.002516*L126)^2*4950*COS(2*R126-2*Q126-P126)  +4130*COS(2*R126+P126-2*S126) -(1-0.002516*L126)*3958*COS(4*R126-Q126-P126) +3258*COS(3*R126-P126) +(1 - 0.002516*L126)*2616*COS(2*R126+Q126+P126) -(1 - 0.002516*L126)*1897*COS(4*R126-Q126-2*P126)  -(1-0.002516*L126)^2*2117*COS(2*Q126-P126) +(1-0.002516*L126)^2*2354*COS(2*R126+2*Q126-P126) -1423*COS(4*R126+P126) -1117*COS(4*P126) -(1-0.002516*L126)*1571*COS(4*R126-Q126)  -1739*COS(R126-2*P126) -4421*COS(2*P126-2*S126) +(1-0.002516*L126)^2*1165*COS(2*Q126+P126) +8752*COS(2*R126-P126-2*S126))/1000</f>
        <v>405139.479833432</v>
      </c>
      <c r="AV126" s="54" t="n">
        <f aca="false">ATAN(0.99664719*TAN($A$10*input!$E$2))</f>
        <v>0.871010436227447</v>
      </c>
      <c r="AW126" s="54" t="n">
        <f aca="false">COS(AV126)</f>
        <v>0.644053912545845</v>
      </c>
      <c r="AX126" s="54" t="n">
        <f aca="false">0.99664719*SIN(AV126)</f>
        <v>0.762415269897027</v>
      </c>
      <c r="AY126" s="54" t="n">
        <f aca="false">6378.14/AU126</f>
        <v>0.015743071997383</v>
      </c>
      <c r="AZ126" s="55" t="n">
        <f aca="false">M126-15*AH126</f>
        <v>147.383691616456</v>
      </c>
      <c r="BA126" s="56" t="n">
        <f aca="false">COS($A$10*AG126)*SIN($A$10*AZ126)</f>
        <v>0.481558455991026</v>
      </c>
      <c r="BB126" s="56" t="n">
        <f aca="false">COS($A$10*AG126)*COS($A$10*AZ126)-AW126*AY126</f>
        <v>-0.762659365077056</v>
      </c>
      <c r="BC126" s="56" t="n">
        <f aca="false">SIN($A$10*AG126)-AX126*AY126</f>
        <v>0.437235637282029</v>
      </c>
      <c r="BD126" s="57" t="n">
        <f aca="false">SQRT(BA126^2+BB126^2+BC126^2)</f>
        <v>1.00235864648619</v>
      </c>
      <c r="BE126" s="58" t="n">
        <f aca="false">AU126*BD126</f>
        <v>406095.060643956</v>
      </c>
    </row>
    <row r="127" customFormat="false" ht="15" hidden="false" customHeight="false" outlineLevel="0" collapsed="false">
      <c r="D127" s="41" t="n">
        <f aca="false">K127-INT(275*E127/9)+IF($A$8="common year",2,1)*INT((E127+9)/12)+30</f>
        <v>6</v>
      </c>
      <c r="E127" s="41" t="n">
        <f aca="false">IF(K127&lt;32,1,INT(9*(IF($A$8="common year",2,1)+K127)/275+0.98))</f>
        <v>5</v>
      </c>
      <c r="F127" s="42" t="n">
        <f aca="false">AM127</f>
        <v>-4.31194404250834</v>
      </c>
      <c r="G127" s="60" t="n">
        <f aca="false">F127+1.02/(TAN($A$10*(F127+10.3/(F127+5.11)))*60)</f>
        <v>-4.19946268017085</v>
      </c>
      <c r="H127" s="43" t="n">
        <f aca="false">100*(1+COS($A$10*AQ127))/2</f>
        <v>22.7611017476067</v>
      </c>
      <c r="I127" s="43" t="n">
        <f aca="false">IF(AI127&gt;180,AT127-180,AT127+180)</f>
        <v>320.908539612831</v>
      </c>
      <c r="J127" s="61" t="n">
        <f aca="false">$J$2+K126</f>
        <v>2459705.5</v>
      </c>
      <c r="K127" s="21" t="n">
        <v>126</v>
      </c>
      <c r="L127" s="62" t="n">
        <f aca="false">(J127-2451545)/36525</f>
        <v>0.223422313483915</v>
      </c>
      <c r="M127" s="63" t="n">
        <f aca="false">MOD(280.46061837+360.98564736629*(J127-2451545)+0.000387933*L127^2-L127^3/38710000+$B$7,360)</f>
        <v>238.835970343556</v>
      </c>
      <c r="N127" s="30" t="n">
        <f aca="false">0.606433+1336.855225*L127 - INT(0.606433+1336.855225*L127)</f>
        <v>0.289720162559831</v>
      </c>
      <c r="O127" s="35" t="n">
        <f aca="false">22640*SIN(P127)-4586*SIN(P127-2*R127)+2370*SIN(2*R127)+769*SIN(2*P127)-668*SIN(Q127)-412*SIN(2*S127)-212*SIN(2*P127-2*R127)-206*SIN(P127+Q127-2*R127)+192*SIN(P127+2*R127)-165*SIN(Q127-2*R127)-125*SIN(R127)-110*SIN(P127+Q127)+148*SIN(P127-Q127)-55*SIN(2*S127-2*R127)</f>
        <v>-7372.55354028449</v>
      </c>
      <c r="P127" s="32" t="n">
        <f aca="false">2*PI()*(0.374897+1325.55241*L127 - INT(0.374897+1325.55241*L127))</f>
        <v>3.34820317878213</v>
      </c>
      <c r="Q127" s="36" t="n">
        <f aca="false">2*PI()*(0.993133+99.997361*L127 - INT(0.993133+99.997361*L127))</f>
        <v>2.10345170814411</v>
      </c>
      <c r="R127" s="36" t="n">
        <f aca="false">2*PI()*(0.827361+1236.853086*L127 - INT(0.827361+1236.853086*L127))</f>
        <v>1.05519131594196</v>
      </c>
      <c r="S127" s="36" t="n">
        <f aca="false">2*PI()*(0.259086+1342.227825*L127 - INT(0.259086+1342.227825*L127))</f>
        <v>0.896810876311641</v>
      </c>
      <c r="T127" s="36" t="n">
        <f aca="false">S127+(O127+412*SIN(2*S127)+541*SIN(Q127))/206264.8062</f>
        <v>0.865275255666778</v>
      </c>
      <c r="U127" s="36" t="n">
        <f aca="false">S127-2*R127</f>
        <v>-1.21357175557228</v>
      </c>
      <c r="V127" s="34" t="n">
        <f aca="false">-526*SIN(U127)+44*SIN(P127+U127)-31*SIN(-P127+U127)-23*SIN(Q127+U127)+11*SIN(-Q127+U127)-25*SIN(-2*P127+S127)+21*SIN(-P127+S127)</f>
        <v>458.388781851881</v>
      </c>
      <c r="W127" s="36" t="n">
        <f aca="false">2*PI()*(N127+O127/1296000-INT(N127+O127/1296000))</f>
        <v>1.78462232037919</v>
      </c>
      <c r="X127" s="35" t="n">
        <f aca="false">W127*180/PI()</f>
        <v>102.251326982571</v>
      </c>
      <c r="Y127" s="36" t="n">
        <f aca="false">(18520*SIN(T127)+V127)/206264.8062</f>
        <v>0.0705751960009983</v>
      </c>
      <c r="Z127" s="36" t="n">
        <f aca="false">Y127*180/PI()</f>
        <v>4.04366086916577</v>
      </c>
      <c r="AA127" s="36" t="n">
        <f aca="false">COS(Y127)*COS(W127)</f>
        <v>-0.211672054474249</v>
      </c>
      <c r="AB127" s="36" t="n">
        <f aca="false">COS(Y127)*SIN(W127)</f>
        <v>0.974793489526782</v>
      </c>
      <c r="AC127" s="36" t="n">
        <f aca="false">SIN(Y127)</f>
        <v>0.0705166230817201</v>
      </c>
      <c r="AD127" s="36" t="n">
        <f aca="false">COS($A$10*(23.4393-46.815*L127/3600))*AB127-SIN($A$10*(23.4393-46.815*L127/3600))*AC127</f>
        <v>0.866328511062624</v>
      </c>
      <c r="AE127" s="36" t="n">
        <f aca="false">SIN($A$10*(23.4393-46.815*L127/3600))*AB127+COS($A$10*(23.4393-46.815*L127/3600))*AC127</f>
        <v>0.452404522827377</v>
      </c>
      <c r="AF127" s="36" t="n">
        <f aca="false">SQRT(1-AE127*AE127)</f>
        <v>0.891812843440446</v>
      </c>
      <c r="AG127" s="35" t="n">
        <f aca="false">ATAN(AE127/AF127)/$A$10</f>
        <v>26.8980606098947</v>
      </c>
      <c r="AH127" s="36" t="n">
        <f aca="false">IF(24*ATAN(AD127/(AA127+AF127))/PI()&gt;0,24*ATAN(AD127/(AA127+AF127))/PI(),24*ATAN(AD127/(AA127+AF127))/PI()+24)</f>
        <v>6.91534707229068</v>
      </c>
      <c r="AI127" s="63" t="n">
        <f aca="false">IF(M127-15*AH127&gt;0,M127-15*AH127,360+M127-15*AH127)</f>
        <v>135.105764259196</v>
      </c>
      <c r="AJ127" s="32" t="n">
        <f aca="false">0.950724+0.051818*COS(P127)+0.009531*COS(2*R127-P127)+0.007843*COS(2*R127)+0.002824*COS(2*P127)+0.000857*COS(2*R127+P127)+0.000533*COS(2*R127-Q127)*(1-0.002495*(J127-2415020)/36525)+0.000401*COS(2*R127-Q127-P127)*(1-0.002495*(J127-2415020)/36525)+0.00032*COS(P127-Q127)*(1-0.002495*(J127-2415020)/36525)-0.000271*COS(R127)</f>
        <v>0.902369935353332</v>
      </c>
      <c r="AK127" s="36" t="n">
        <f aca="false">ASIN(COS($A$10*$B$5)*COS($A$10*AG127)*COS($A$10*AI127)+SIN($A$10*$B$5)*SIN($A$10*AG127))/$A$10</f>
        <v>-3.41294393838377</v>
      </c>
      <c r="AL127" s="32" t="n">
        <f aca="false">ASIN((0.9983271+0.0016764*COS($A$10*2*$B$5))*COS($A$10*AK127)*SIN($A$10*AJ127))/$A$10</f>
        <v>0.899000104124572</v>
      </c>
      <c r="AM127" s="32" t="n">
        <f aca="false">AK127-AL127</f>
        <v>-4.31194404250834</v>
      </c>
      <c r="AN127" s="35" t="n">
        <f aca="false"> MOD(280.4664567 + 360007.6982779*L127/10 + 0.03032028*L127^2/100 + L127^3/49931000,360)</f>
        <v>43.8417539621278</v>
      </c>
      <c r="AO127" s="32" t="n">
        <f aca="false"> AN127 + (1.9146 - 0.004817*L127 - 0.000014*L127^2)*SIN(Q127)+ (0.019993 - 0.000101*L127)*SIN(2*Q127)+ 0.00029*SIN(3*Q127)</f>
        <v>45.4727156589687</v>
      </c>
      <c r="AP127" s="32" t="n">
        <f aca="false">ACOS(COS(W127-$A$10*AO127)*COS(Y127))/$A$10</f>
        <v>56.8719732874369</v>
      </c>
      <c r="AQ127" s="34" t="n">
        <f aca="false">180 - AP127 -0.1468*(1-0.0549*SIN(Q127))*SIN($A$10*AP127)/(1-0.0167*SIN($A$10*AO127))</f>
        <v>123.009491847074</v>
      </c>
      <c r="AR127" s="64" t="n">
        <f aca="false">SIN($A$10*AI127)</f>
        <v>0.705800304363359</v>
      </c>
      <c r="AS127" s="64" t="n">
        <f aca="false">COS($A$10*AI127)*SIN($A$10*$B$5) - TAN($A$10*AG127)*COS($A$10*$B$5)</f>
        <v>-0.868751603589083</v>
      </c>
      <c r="AT127" s="24" t="n">
        <f aca="false">IF(OR(AND(AR127*AS127&gt;0), AND(AR127&lt;0,AS127&gt;0)), MOD(ATAN2(AS127,AR127)/$A$10+360,360),  ATAN2(AS127,AR127)/$A$10)</f>
        <v>140.908539612831</v>
      </c>
      <c r="AU127" s="39" t="n">
        <f aca="false"> 385000.56 + (-20905355*COS(P127) - 3699111*COS(2*R127-P127) - 2955968*COS(2*R127) - 569925*COS(2*P127) + (1-0.002516*L127)*48888*COS(Q127) - 3149*COS(2*S127)  +246158*COS(2*R127-2*P127) -(1 - 0.002516*L127)*152138*COS(2*R127-Q127-P127) -170733*COS(2*R127+P127) -(1 - 0.002516*L127)*204586*COS(2*R127-Q127) -(1 - 0.002516*L127)*129620*COS(Q127-P127)  + 108743*COS(R127) +(1-0.002516*L127)*104755*COS(Q127+P127) +10321*COS(2*R127-2*S127) +79661*COS(P127-2*S127) -34782*COS(4*R127-P127) -23210*COS(3*P127)  -21636*COS(4*R127-2*P127) +(1 - 0.002516*L127)*24208*COS(2*R127+Q127-P127) +(1 - 0.002516*L127)*30824*COS(2*R127+Q127) -8379*COS(R127-P127) -(1 - 0.002516*L127)*16675*COS(R127+Q127)  -(1 - 0.002516*L127)*12831*COS(2*R127-Q127+P127) -10445*COS(2*R127+2*P127) -11650*COS(4*R127) +14403*COS(2*R127-3*P127) -(1-0.002516*L127)*7003*COS(Q127-2*P127)  + (1 - 0.002516*L127)*10056*COS(2*R127-Q127-2*P127) +6322*COS(R127+P127) -(1 - 0.002516*L127)*(1-0.002516*L127)*9884*COS(2*R127-2*Q127) +(1-0.002516*L127)*5751*COS(Q127+2*P127) - (1-0.002516*L127)^2*4950*COS(2*R127-2*Q127-P127)  +4130*COS(2*R127+P127-2*S127) -(1-0.002516*L127)*3958*COS(4*R127-Q127-P127) +3258*COS(3*R127-P127) +(1 - 0.002516*L127)*2616*COS(2*R127+Q127+P127) -(1 - 0.002516*L127)*1897*COS(4*R127-Q127-2*P127)  -(1-0.002516*L127)^2*2117*COS(2*Q127-P127) +(1-0.002516*L127)^2*2354*COS(2*R127+2*Q127-P127) -1423*COS(4*R127+P127) -1117*COS(4*P127) -(1-0.002516*L127)*1571*COS(4*R127-Q127)  -1739*COS(R127-2*P127) -4421*COS(2*P127-2*S127) +(1-0.002516*L127)^2*1165*COS(2*Q127+P127) +8752*COS(2*R127-P127-2*S127))/1000</f>
        <v>405168.174127518</v>
      </c>
      <c r="AV127" s="54" t="n">
        <f aca="false">ATAN(0.99664719*TAN($A$10*input!$E$2))</f>
        <v>0.871010436227447</v>
      </c>
      <c r="AW127" s="54" t="n">
        <f aca="false">COS(AV127)</f>
        <v>0.644053912545845</v>
      </c>
      <c r="AX127" s="54" t="n">
        <f aca="false">0.99664719*SIN(AV127)</f>
        <v>0.762415269897027</v>
      </c>
      <c r="AY127" s="54" t="n">
        <f aca="false">6378.14/AU127</f>
        <v>0.0157419570619893</v>
      </c>
      <c r="AZ127" s="55" t="n">
        <f aca="false">M127-15*AH127</f>
        <v>135.105764259196</v>
      </c>
      <c r="BA127" s="56" t="n">
        <f aca="false">COS($A$10*AG127)*SIN($A$10*AZ127)</f>
        <v>0.629441776335419</v>
      </c>
      <c r="BB127" s="56" t="n">
        <f aca="false">COS($A$10*AG127)*COS($A$10*AZ127)-AW127*AY127</f>
        <v>-0.641908562217201</v>
      </c>
      <c r="BC127" s="56" t="n">
        <f aca="false">SIN($A$10*AG127)-AX127*AY127</f>
        <v>0.440402614385253</v>
      </c>
      <c r="BD127" s="57" t="n">
        <f aca="false">SQRT(BA127^2+BB127^2+BC127^2)</f>
        <v>1.00109840415486</v>
      </c>
      <c r="BE127" s="58" t="n">
        <f aca="false">AU127*BD127</f>
        <v>405613.212533397</v>
      </c>
    </row>
    <row r="128" customFormat="false" ht="15" hidden="false" customHeight="false" outlineLevel="0" collapsed="false">
      <c r="D128" s="41" t="n">
        <f aca="false">K128-INT(275*E128/9)+IF($A$8="common year",2,1)*INT((E128+9)/12)+30</f>
        <v>7</v>
      </c>
      <c r="E128" s="41" t="n">
        <f aca="false">IF(K128&lt;32,1,INT(9*(IF($A$8="common year",2,1)+K128)/275+0.98))</f>
        <v>5</v>
      </c>
      <c r="F128" s="42" t="n">
        <f aca="false">AM128</f>
        <v>0.242568130504203</v>
      </c>
      <c r="G128" s="60" t="n">
        <f aca="false">F128+1.02/(TAN($A$10*(F128+10.3/(F128+5.11)))*60)</f>
        <v>0.691861445646308</v>
      </c>
      <c r="H128" s="43" t="n">
        <f aca="false">100*(1+COS($A$10*AQ128))/2</f>
        <v>31.1770242229386</v>
      </c>
      <c r="I128" s="43" t="n">
        <f aca="false">IF(AI128&gt;180,AT128-180,AT128+180)</f>
        <v>310.926173023598</v>
      </c>
      <c r="J128" s="61" t="n">
        <f aca="false">$J$2+K127</f>
        <v>2459706.5</v>
      </c>
      <c r="K128" s="21" t="n">
        <v>127</v>
      </c>
      <c r="L128" s="62" t="n">
        <f aca="false">(J128-2451545)/36525</f>
        <v>0.223449691991786</v>
      </c>
      <c r="M128" s="63" t="n">
        <f aca="false">MOD(280.46061837+360.98564736629*(J128-2451545)+0.000387933*L128^2-L128^3/38710000+$B$7,360)</f>
        <v>239.821617714595</v>
      </c>
      <c r="N128" s="30" t="n">
        <f aca="false">0.606433+1336.855225*L128 - INT(0.606433+1336.855225*L128)</f>
        <v>0.326321263860336</v>
      </c>
      <c r="O128" s="35" t="n">
        <f aca="false">22640*SIN(P128)-4586*SIN(P128-2*R128)+2370*SIN(2*R128)+769*SIN(2*P128)-668*SIN(Q128)-412*SIN(2*S128)-212*SIN(2*P128-2*R128)-206*SIN(P128+Q128-2*R128)+192*SIN(P128+2*R128)-165*SIN(Q128-2*R128)-125*SIN(R128)-110*SIN(P128+Q128)+148*SIN(P128-Q128)-55*SIN(2*S128-2*R128)</f>
        <v>-12088.3084734151</v>
      </c>
      <c r="P128" s="32" t="n">
        <f aca="false">2*PI()*(0.374897+1325.55241*L128 - INT(0.374897+1325.55241*L128))</f>
        <v>3.57623032255759</v>
      </c>
      <c r="Q128" s="36" t="n">
        <f aca="false">2*PI()*(0.993133+99.997361*L128 - INT(0.993133+99.997361*L128))</f>
        <v>2.12065367801112</v>
      </c>
      <c r="R128" s="36" t="n">
        <f aca="false">2*PI()*(0.827361+1236.853086*L128 - INT(0.827361+1236.853086*L128))</f>
        <v>1.26796002606099</v>
      </c>
      <c r="S128" s="36" t="n">
        <f aca="false">2*PI()*(0.259086+1342.227825*L128 - INT(0.259086+1342.227825*L128))</f>
        <v>1.12770659565265</v>
      </c>
      <c r="T128" s="36" t="n">
        <f aca="false">S128+(O128+412*SIN(2*S128)+541*SIN(Q128))/206264.8062</f>
        <v>1.07288438875225</v>
      </c>
      <c r="U128" s="36" t="n">
        <f aca="false">S128-2*R128</f>
        <v>-1.40821345646933</v>
      </c>
      <c r="V128" s="34" t="n">
        <f aca="false">-526*SIN(U128)+44*SIN(P128+U128)-31*SIN(-P128+U128)-23*SIN(Q128+U128)+11*SIN(-Q128+U128)-25*SIN(-2*P128+S128)+21*SIN(-P128+S128)</f>
        <v>494.900811504488</v>
      </c>
      <c r="W128" s="36" t="n">
        <f aca="false">2*PI()*(N128+O128/1296000-INT(N128+O128/1296000))</f>
        <v>1.9917311972137</v>
      </c>
      <c r="X128" s="35" t="n">
        <f aca="false">W128*180/PI()</f>
        <v>114.117791524884</v>
      </c>
      <c r="Y128" s="36" t="n">
        <f aca="false">(18520*SIN(T128)+V128)/206264.8062</f>
        <v>0.0812849973903973</v>
      </c>
      <c r="Z128" s="36" t="n">
        <f aca="false">Y128*180/PI()</f>
        <v>4.65728728820167</v>
      </c>
      <c r="AA128" s="36" t="n">
        <f aca="false">COS(Y128)*COS(W128)</f>
        <v>-0.40726473044734</v>
      </c>
      <c r="AB128" s="36" t="n">
        <f aca="false">COS(Y128)*SIN(W128)</f>
        <v>0.909693754864919</v>
      </c>
      <c r="AC128" s="36" t="n">
        <f aca="false">SIN(Y128)</f>
        <v>0.0811955152297178</v>
      </c>
      <c r="AD128" s="36" t="n">
        <f aca="false">COS($A$10*(23.4393-46.815*L128/3600))*AB128-SIN($A$10*(23.4393-46.815*L128/3600))*AC128</f>
        <v>0.802352041917605</v>
      </c>
      <c r="AE128" s="36" t="n">
        <f aca="false">SIN($A$10*(23.4393-46.815*L128/3600))*AB128+COS($A$10*(23.4393-46.815*L128/3600))*AC128</f>
        <v>0.436310256771836</v>
      </c>
      <c r="AF128" s="36" t="n">
        <f aca="false">SQRT(1-AE128*AE128)</f>
        <v>0.899796287965057</v>
      </c>
      <c r="AG128" s="35" t="n">
        <f aca="false">ATAN(AE128/AF128)/$A$10</f>
        <v>25.8686968943381</v>
      </c>
      <c r="AH128" s="36" t="n">
        <f aca="false">IF(24*ATAN(AD128/(AA128+AF128))/PI()&gt;0,24*ATAN(AD128/(AA128+AF128))/PI(),24*ATAN(AD128/(AA128+AF128))/PI()+24)</f>
        <v>7.79412193426197</v>
      </c>
      <c r="AI128" s="63" t="n">
        <f aca="false">IF(M128-15*AH128&gt;0,M128-15*AH128,360+M128-15*AH128)</f>
        <v>122.909788700665</v>
      </c>
      <c r="AJ128" s="32" t="n">
        <f aca="false">0.950724+0.051818*COS(P128)+0.009531*COS(2*R128-P128)+0.007843*COS(2*R128)+0.002824*COS(2*P128)+0.000857*COS(2*R128+P128)+0.000533*COS(2*R128-Q128)*(1-0.002495*(J128-2415020)/36525)+0.000401*COS(2*R128-Q128-P128)*(1-0.002495*(J128-2415020)/36525)+0.00032*COS(P128-Q128)*(1-0.002495*(J128-2415020)/36525)-0.000271*COS(R128)</f>
        <v>0.904807667829879</v>
      </c>
      <c r="AK128" s="36" t="n">
        <f aca="false">ASIN(COS($A$10*$B$5)*COS($A$10*AG128)*COS($A$10*AI128)+SIN($A$10*$B$5)*SIN($A$10*AG128))/$A$10</f>
        <v>1.14541814707539</v>
      </c>
      <c r="AL128" s="32" t="n">
        <f aca="false">ASIN((0.9983271+0.0016764*COS($A$10*2*$B$5))*COS($A$10*AK128)*SIN($A$10*AJ128))/$A$10</f>
        <v>0.902850016571185</v>
      </c>
      <c r="AM128" s="32" t="n">
        <f aca="false">AK128-AL128</f>
        <v>0.242568130504203</v>
      </c>
      <c r="AN128" s="35" t="n">
        <f aca="false"> MOD(280.4664567 + 360007.6982779*L128/10 + 0.03032028*L128^2/100 + L128^3/49931000,360)</f>
        <v>44.8274013259434</v>
      </c>
      <c r="AO128" s="32" t="n">
        <f aca="false"> AN128 + (1.9146 - 0.004817*L128 - 0.000014*L128^2)*SIN(Q128)+ (0.019993 - 0.000101*L128)*SIN(2*Q128)+ 0.00029*SIN(3*Q128)</f>
        <v>46.4410968269049</v>
      </c>
      <c r="AP128" s="32" t="n">
        <f aca="false">ACOS(COS(W128-$A$10*AO128)*COS(Y128))/$A$10</f>
        <v>67.7543512275351</v>
      </c>
      <c r="AQ128" s="34" t="n">
        <f aca="false">180 - AP128 -0.1468*(1-0.0549*SIN(Q128))*SIN($A$10*AP128)/(1-0.0167*SIN($A$10*AO128))</f>
        <v>112.114548568023</v>
      </c>
      <c r="AR128" s="64" t="n">
        <f aca="false">SIN($A$10*AI128)</f>
        <v>0.839527053612062</v>
      </c>
      <c r="AS128" s="64" t="n">
        <f aca="false">COS($A$10*AI128)*SIN($A$10*$B$5) - TAN($A$10*AG128)*COS($A$10*$B$5)</f>
        <v>-0.727892671937691</v>
      </c>
      <c r="AT128" s="24" t="n">
        <f aca="false">IF(OR(AND(AR128*AS128&gt;0), AND(AR128&lt;0,AS128&gt;0)), MOD(ATAN2(AS128,AR128)/$A$10+360,360),  ATAN2(AS128,AR128)/$A$10)</f>
        <v>130.926173023598</v>
      </c>
      <c r="AU128" s="39" t="n">
        <f aca="false"> 385000.56 + (-20905355*COS(P128) - 3699111*COS(2*R128-P128) - 2955968*COS(2*R128) - 569925*COS(2*P128) + (1-0.002516*L128)*48888*COS(Q128) - 3149*COS(2*S128)  +246158*COS(2*R128-2*P128) -(1 - 0.002516*L128)*152138*COS(2*R128-Q128-P128) -170733*COS(2*R128+P128) -(1 - 0.002516*L128)*204586*COS(2*R128-Q128) -(1 - 0.002516*L128)*129620*COS(Q128-P128)  + 108743*COS(R128) +(1-0.002516*L128)*104755*COS(Q128+P128) +10321*COS(2*R128-2*S128) +79661*COS(P128-2*S128) -34782*COS(4*R128-P128) -23210*COS(3*P128)  -21636*COS(4*R128-2*P128) +(1 - 0.002516*L128)*24208*COS(2*R128+Q128-P128) +(1 - 0.002516*L128)*30824*COS(2*R128+Q128) -8379*COS(R128-P128) -(1 - 0.002516*L128)*16675*COS(R128+Q128)  -(1 - 0.002516*L128)*12831*COS(2*R128-Q128+P128) -10445*COS(2*R128+2*P128) -11650*COS(4*R128) +14403*COS(2*R128-3*P128) -(1-0.002516*L128)*7003*COS(Q128-2*P128)  + (1 - 0.002516*L128)*10056*COS(2*R128-Q128-2*P128) +6322*COS(R128+P128) -(1 - 0.002516*L128)*(1-0.002516*L128)*9884*COS(2*R128-2*Q128) +(1-0.002516*L128)*5751*COS(Q128+2*P128) - (1-0.002516*L128)^2*4950*COS(2*R128-2*Q128-P128)  +4130*COS(2*R128+P128-2*S128) -(1-0.002516*L128)*3958*COS(4*R128-Q128-P128) +3258*COS(3*R128-P128) +(1 - 0.002516*L128)*2616*COS(2*R128+Q128+P128) -(1 - 0.002516*L128)*1897*COS(4*R128-Q128-2*P128)  -(1-0.002516*L128)^2*2117*COS(2*Q128-P128) +(1-0.002516*L128)^2*2354*COS(2*R128+2*Q128-P128) -1423*COS(4*R128+P128) -1117*COS(4*P128) -(1-0.002516*L128)*1571*COS(4*R128-Q128)  -1739*COS(R128-2*P128) -4421*COS(2*P128-2*S128) +(1-0.002516*L128)^2*1165*COS(2*Q128+P128) +8752*COS(2*R128-P128-2*S128))/1000</f>
        <v>404077.284831162</v>
      </c>
      <c r="AV128" s="54" t="n">
        <f aca="false">ATAN(0.99664719*TAN($A$10*input!$E$2))</f>
        <v>0.871010436227447</v>
      </c>
      <c r="AW128" s="54" t="n">
        <f aca="false">COS(AV128)</f>
        <v>0.644053912545845</v>
      </c>
      <c r="AX128" s="54" t="n">
        <f aca="false">0.99664719*SIN(AV128)</f>
        <v>0.762415269897027</v>
      </c>
      <c r="AY128" s="54" t="n">
        <f aca="false">6378.14/AU128</f>
        <v>0.0157844556955609</v>
      </c>
      <c r="AZ128" s="55" t="n">
        <f aca="false">M128-15*AH128</f>
        <v>122.909788700665</v>
      </c>
      <c r="BA128" s="56" t="n">
        <f aca="false">COS($A$10*AG128)*SIN($A$10*AZ128)</f>
        <v>0.755403326486374</v>
      </c>
      <c r="BB128" s="56" t="n">
        <f aca="false">COS($A$10*AG128)*COS($A$10*AZ128)-AW128*AY128</f>
        <v>-0.499041458288931</v>
      </c>
      <c r="BC128" s="56" t="n">
        <f aca="false">SIN($A$10*AG128)-AX128*AY128</f>
        <v>0.424275946722527</v>
      </c>
      <c r="BD128" s="57" t="n">
        <f aca="false">SQRT(BA128^2+BB128^2+BC128^2)</f>
        <v>0.99984330858646</v>
      </c>
      <c r="BE128" s="58" t="n">
        <f aca="false">AU128*BD128</f>
        <v>404013.969390222</v>
      </c>
    </row>
    <row r="129" customFormat="false" ht="15" hidden="false" customHeight="false" outlineLevel="0" collapsed="false">
      <c r="D129" s="41" t="n">
        <f aca="false">K129-INT(275*E129/9)+IF($A$8="common year",2,1)*INT((E129+9)/12)+30</f>
        <v>8</v>
      </c>
      <c r="E129" s="41" t="n">
        <f aca="false">IF(K129&lt;32,1,INT(9*(IF($A$8="common year",2,1)+K129)/275+0.98))</f>
        <v>5</v>
      </c>
      <c r="F129" s="42" t="n">
        <f aca="false">AM129</f>
        <v>4.64229839472434</v>
      </c>
      <c r="G129" s="60" t="n">
        <f aca="false">F129+1.02/(TAN($A$10*(F129+10.3/(F129+5.11)))*60)</f>
        <v>4.81266277339195</v>
      </c>
      <c r="H129" s="43" t="n">
        <f aca="false">100*(1+COS($A$10*AQ129))/2</f>
        <v>40.33687039968</v>
      </c>
      <c r="I129" s="43" t="n">
        <f aca="false">IF(AI129&gt;180,AT129-180,AT129+180)</f>
        <v>300.7696553147</v>
      </c>
      <c r="J129" s="61" t="n">
        <f aca="false">$J$2+K128</f>
        <v>2459707.5</v>
      </c>
      <c r="K129" s="21" t="n">
        <v>128</v>
      </c>
      <c r="L129" s="62" t="n">
        <f aca="false">(J129-2451545)/36525</f>
        <v>0.223477070499658</v>
      </c>
      <c r="M129" s="63" t="n">
        <f aca="false">MOD(280.46061837+360.98564736629*(J129-2451545)+0.000387933*L129^2-L129^3/38710000+$B$7,360)</f>
        <v>240.8072650861</v>
      </c>
      <c r="N129" s="30" t="n">
        <f aca="false">0.606433+1336.855225*L129 - INT(0.606433+1336.855225*L129)</f>
        <v>0.362922365160841</v>
      </c>
      <c r="O129" s="35" t="n">
        <f aca="false">22640*SIN(P129)-4586*SIN(P129-2*R129)+2370*SIN(2*R129)+769*SIN(2*P129)-668*SIN(Q129)-412*SIN(2*S129)-212*SIN(2*P129-2*R129)-206*SIN(P129+Q129-2*R129)+192*SIN(P129+2*R129)-165*SIN(Q129-2*R129)-125*SIN(R129)-110*SIN(P129+Q129)+148*SIN(P129-Q129)-55*SIN(2*S129-2*R129)</f>
        <v>-16452.9985566082</v>
      </c>
      <c r="P129" s="32" t="n">
        <f aca="false">2*PI()*(0.374897+1325.55241*L129 - INT(0.374897+1325.55241*L129))</f>
        <v>3.8042574663334</v>
      </c>
      <c r="Q129" s="36" t="n">
        <f aca="false">2*PI()*(0.993133+99.997361*L129 - INT(0.993133+99.997361*L129))</f>
        <v>2.1378556478781</v>
      </c>
      <c r="R129" s="36" t="n">
        <f aca="false">2*PI()*(0.827361+1236.853086*L129 - INT(0.827361+1236.853086*L129))</f>
        <v>1.48072873618001</v>
      </c>
      <c r="S129" s="36" t="n">
        <f aca="false">2*PI()*(0.259086+1342.227825*L129 - INT(0.259086+1342.227825*L129))</f>
        <v>1.35860231499365</v>
      </c>
      <c r="T129" s="36" t="n">
        <f aca="false">S129+(O129+412*SIN(2*S129)+541*SIN(Q129))/206264.8062</f>
        <v>1.28187072194847</v>
      </c>
      <c r="U129" s="36" t="n">
        <f aca="false">S129-2*R129</f>
        <v>-1.60285515736637</v>
      </c>
      <c r="V129" s="34" t="n">
        <f aca="false">-526*SIN(U129)+44*SIN(P129+U129)-31*SIN(-P129+U129)-23*SIN(Q129+U129)+11*SIN(-Q129+U129)-25*SIN(-2*P129+S129)+21*SIN(-P129+S129)</f>
        <v>517.633897257993</v>
      </c>
      <c r="W129" s="36" t="n">
        <f aca="false">2*PI()*(N129+O129/1296000-INT(N129+O129/1296000))</f>
        <v>2.20054208447027</v>
      </c>
      <c r="X129" s="35" t="n">
        <f aca="false">W129*180/PI()</f>
        <v>126.081774081067</v>
      </c>
      <c r="Y129" s="36" t="n">
        <f aca="false">(18520*SIN(T129)+V129)/206264.8062</f>
        <v>0.0885754113084676</v>
      </c>
      <c r="Z129" s="36" t="n">
        <f aca="false">Y129*180/PI()</f>
        <v>5.07499723661054</v>
      </c>
      <c r="AA129" s="36" t="n">
        <f aca="false">COS(Y129)*COS(W129)</f>
        <v>-0.586630522056785</v>
      </c>
      <c r="AB129" s="36" t="n">
        <f aca="false">COS(Y129)*SIN(W129)</f>
        <v>0.805009020746356</v>
      </c>
      <c r="AC129" s="36" t="n">
        <f aca="false">SIN(Y129)</f>
        <v>0.0884596354750396</v>
      </c>
      <c r="AD129" s="36" t="n">
        <f aca="false">COS($A$10*(23.4393-46.815*L129/3600))*AB129-SIN($A$10*(23.4393-46.815*L129/3600))*AC129</f>
        <v>0.703414409300288</v>
      </c>
      <c r="AE129" s="36" t="n">
        <f aca="false">SIN($A$10*(23.4393-46.815*L129/3600))*AB129+COS($A$10*(23.4393-46.815*L129/3600))*AC129</f>
        <v>0.401338758880962</v>
      </c>
      <c r="AF129" s="36" t="n">
        <f aca="false">SQRT(1-AE129*AE129)</f>
        <v>0.915929691963247</v>
      </c>
      <c r="AG129" s="35" t="n">
        <f aca="false">ATAN(AE129/AF129)/$A$10</f>
        <v>23.6618974734171</v>
      </c>
      <c r="AH129" s="36" t="n">
        <f aca="false">IF(24*ATAN(AD129/(AA129+AF129))/PI()&gt;0,24*ATAN(AD129/(AA129+AF129))/PI(),24*ATAN(AD129/(AA129+AF129))/PI()+24)</f>
        <v>8.65515233622605</v>
      </c>
      <c r="AI129" s="63" t="n">
        <f aca="false">IF(M129-15*AH129&gt;0,M129-15*AH129,360+M129-15*AH129)</f>
        <v>110.979980042709</v>
      </c>
      <c r="AJ129" s="32" t="n">
        <f aca="false">0.950724+0.051818*COS(P129)+0.009531*COS(2*R129-P129)+0.007843*COS(2*R129)+0.002824*COS(2*P129)+0.000857*COS(2*R129+P129)+0.000533*COS(2*R129-Q129)*(1-0.002495*(J129-2415020)/36525)+0.000401*COS(2*R129-Q129-P129)*(1-0.002495*(J129-2415020)/36525)+0.00032*COS(P129-Q129)*(1-0.002495*(J129-2415020)/36525)-0.000271*COS(R129)</f>
        <v>0.909855667026907</v>
      </c>
      <c r="AK129" s="36" t="n">
        <f aca="false">ASIN(COS($A$10*$B$5)*COS($A$10*AG129)*COS($A$10*AI129)+SIN($A$10*$B$5)*SIN($A$10*AG129))/$A$10</f>
        <v>5.54611568672316</v>
      </c>
      <c r="AL129" s="32" t="n">
        <f aca="false">ASIN((0.9983271+0.0016764*COS($A$10*2*$B$5))*COS($A$10*AK129)*SIN($A$10*AJ129))/$A$10</f>
        <v>0.903817291998813</v>
      </c>
      <c r="AM129" s="32" t="n">
        <f aca="false">AK129-AL129</f>
        <v>4.64229839472434</v>
      </c>
      <c r="AN129" s="35" t="n">
        <f aca="false"> MOD(280.4664567 + 360007.6982779*L129/10 + 0.03032028*L129^2/100 + L129^3/49931000,360)</f>
        <v>45.8130486897553</v>
      </c>
      <c r="AO129" s="32" t="n">
        <f aca="false"> AN129 + (1.9146 - 0.004817*L129 - 0.000014*L129^2)*SIN(Q129)+ (0.019993 - 0.000101*L129)*SIN(2*Q129)+ 0.00029*SIN(3*Q129)</f>
        <v>47.4090162453043</v>
      </c>
      <c r="AP129" s="32" t="n">
        <f aca="false">ACOS(COS(W129-$A$10*AO129)*COS(Y129))/$A$10</f>
        <v>78.7177474936779</v>
      </c>
      <c r="AQ129" s="34" t="n">
        <f aca="false">180 - AP129 -0.1468*(1-0.0549*SIN(Q129))*SIN($A$10*AP129)/(1-0.0167*SIN($A$10*AO129))</f>
        <v>101.143246894678</v>
      </c>
      <c r="AR129" s="64" t="n">
        <f aca="false">SIN($A$10*AI129)</f>
        <v>0.933705588344061</v>
      </c>
      <c r="AS129" s="64" t="n">
        <f aca="false">COS($A$10*AI129)*SIN($A$10*$B$5) - TAN($A$10*AG129)*COS($A$10*$B$5)</f>
        <v>-0.555930220527938</v>
      </c>
      <c r="AT129" s="24" t="n">
        <f aca="false">IF(OR(AND(AR129*AS129&gt;0), AND(AR129&lt;0,AS129&gt;0)), MOD(ATAN2(AS129,AR129)/$A$10+360,360),  ATAN2(AS129,AR129)/$A$10)</f>
        <v>120.7696553147</v>
      </c>
      <c r="AU129" s="39" t="n">
        <f aca="false"> 385000.56 + (-20905355*COS(P129) - 3699111*COS(2*R129-P129) - 2955968*COS(2*R129) - 569925*COS(2*P129) + (1-0.002516*L129)*48888*COS(Q129) - 3149*COS(2*S129)  +246158*COS(2*R129-2*P129) -(1 - 0.002516*L129)*152138*COS(2*R129-Q129-P129) -170733*COS(2*R129+P129) -(1 - 0.002516*L129)*204586*COS(2*R129-Q129) -(1 - 0.002516*L129)*129620*COS(Q129-P129)  + 108743*COS(R129) +(1-0.002516*L129)*104755*COS(Q129+P129) +10321*COS(2*R129-2*S129) +79661*COS(P129-2*S129) -34782*COS(4*R129-P129) -23210*COS(3*P129)  -21636*COS(4*R129-2*P129) +(1 - 0.002516*L129)*24208*COS(2*R129+Q129-P129) +(1 - 0.002516*L129)*30824*COS(2*R129+Q129) -8379*COS(R129-P129) -(1 - 0.002516*L129)*16675*COS(R129+Q129)  -(1 - 0.002516*L129)*12831*COS(2*R129-Q129+P129) -10445*COS(2*R129+2*P129) -11650*COS(4*R129) +14403*COS(2*R129-3*P129) -(1-0.002516*L129)*7003*COS(Q129-2*P129)  + (1 - 0.002516*L129)*10056*COS(2*R129-Q129-2*P129) +6322*COS(R129+P129) -(1 - 0.002516*L129)*(1-0.002516*L129)*9884*COS(2*R129-2*Q129) +(1-0.002516*L129)*5751*COS(Q129+2*P129) - (1-0.002516*L129)^2*4950*COS(2*R129-2*Q129-P129)  +4130*COS(2*R129+P129-2*S129) -(1-0.002516*L129)*3958*COS(4*R129-Q129-P129) +3258*COS(3*R129-P129) +(1 - 0.002516*L129)*2616*COS(2*R129+Q129+P129) -(1 - 0.002516*L129)*1897*COS(4*R129-Q129-2*P129)  -(1-0.002516*L129)^2*2117*COS(2*Q129-P129) +(1-0.002516*L129)^2*2354*COS(2*R129+2*Q129-P129) -1423*COS(4*R129+P129) -1117*COS(4*P129) -(1-0.002516*L129)*1571*COS(4*R129-Q129)  -1739*COS(R129-2*P129) -4421*COS(2*P129-2*S129) +(1-0.002516*L129)^2*1165*COS(2*Q129+P129) +8752*COS(2*R129-P129-2*S129))/1000</f>
        <v>401795.946131567</v>
      </c>
      <c r="AV129" s="54" t="n">
        <f aca="false">ATAN(0.99664719*TAN($A$10*input!$E$2))</f>
        <v>0.871010436227447</v>
      </c>
      <c r="AW129" s="54" t="n">
        <f aca="false">COS(AV129)</f>
        <v>0.644053912545845</v>
      </c>
      <c r="AX129" s="54" t="n">
        <f aca="false">0.99664719*SIN(AV129)</f>
        <v>0.762415269897027</v>
      </c>
      <c r="AY129" s="54" t="n">
        <f aca="false">6378.14/AU129</f>
        <v>0.015874077529671</v>
      </c>
      <c r="AZ129" s="55" t="n">
        <f aca="false">M129-15*AH129</f>
        <v>110.979980042709</v>
      </c>
      <c r="BA129" s="56" t="n">
        <f aca="false">COS($A$10*AG129)*SIN($A$10*AZ129)</f>
        <v>0.855208671916338</v>
      </c>
      <c r="BB129" s="56" t="n">
        <f aca="false">COS($A$10*AG129)*COS($A$10*AZ129)-AW129*AY129</f>
        <v>-0.338164805373859</v>
      </c>
      <c r="BC129" s="56" t="n">
        <f aca="false">SIN($A$10*AG129)-AX129*AY129</f>
        <v>0.389236119776812</v>
      </c>
      <c r="BD129" s="57" t="n">
        <f aca="false">SQRT(BA129^2+BB129^2+BC129^2)</f>
        <v>0.998620080437679</v>
      </c>
      <c r="BE129" s="58" t="n">
        <f aca="false">AU129*BD129</f>
        <v>401241.500045439</v>
      </c>
    </row>
    <row r="130" customFormat="false" ht="15" hidden="false" customHeight="false" outlineLevel="0" collapsed="false">
      <c r="D130" s="41" t="n">
        <f aca="false">K130-INT(275*E130/9)+IF($A$8="common year",2,1)*INT((E130+9)/12)+30</f>
        <v>9</v>
      </c>
      <c r="E130" s="41" t="n">
        <f aca="false">IF(K130&lt;32,1,INT(9*(IF($A$8="common year",2,1)+K130)/275+0.98))</f>
        <v>5</v>
      </c>
      <c r="F130" s="42" t="n">
        <f aca="false">AM130</f>
        <v>8.78136470852179</v>
      </c>
      <c r="G130" s="60" t="n">
        <f aca="false">F130+1.02/(TAN($A$10*(F130+10.3/(F130+5.11)))*60)</f>
        <v>8.88270460143537</v>
      </c>
      <c r="H130" s="43" t="n">
        <f aca="false">100*(1+COS($A$10*AQ130))/2</f>
        <v>49.9819101357276</v>
      </c>
      <c r="I130" s="43" t="n">
        <f aca="false">IF(AI130&gt;180,AT130-180,AT130+180)</f>
        <v>290.258549642834</v>
      </c>
      <c r="J130" s="61" t="n">
        <f aca="false">$J$2+K129</f>
        <v>2459708.5</v>
      </c>
      <c r="K130" s="21" t="n">
        <v>129</v>
      </c>
      <c r="L130" s="62" t="n">
        <f aca="false">(J130-2451545)/36525</f>
        <v>0.223504449007529</v>
      </c>
      <c r="M130" s="63" t="n">
        <f aca="false">MOD(280.46061837+360.98564736629*(J130-2451545)+0.000387933*L130^2-L130^3/38710000+$B$7,360)</f>
        <v>241.792912457138</v>
      </c>
      <c r="N130" s="30" t="n">
        <f aca="false">0.606433+1336.855225*L130 - INT(0.606433+1336.855225*L130)</f>
        <v>0.399523466461289</v>
      </c>
      <c r="O130" s="35" t="n">
        <f aca="false">22640*SIN(P130)-4586*SIN(P130-2*R130)+2370*SIN(2*R130)+769*SIN(2*P130)-668*SIN(Q130)-412*SIN(2*S130)-212*SIN(2*P130-2*R130)-206*SIN(P130+Q130-2*R130)+192*SIN(P130+2*R130)-165*SIN(Q130-2*R130)-125*SIN(R130)-110*SIN(P130+Q130)+148*SIN(P130-Q130)-55*SIN(2*S130-2*R130)</f>
        <v>-20214.8539411505</v>
      </c>
      <c r="P130" s="32" t="n">
        <f aca="false">2*PI()*(0.374897+1325.55241*L130 - INT(0.374897+1325.55241*L130))</f>
        <v>4.03228461010922</v>
      </c>
      <c r="Q130" s="36" t="n">
        <f aca="false">2*PI()*(0.993133+99.997361*L130 - INT(0.993133+99.997361*L130))</f>
        <v>2.15505761774511</v>
      </c>
      <c r="R130" s="36" t="n">
        <f aca="false">2*PI()*(0.827361+1236.853086*L130 - INT(0.827361+1236.853086*L130))</f>
        <v>1.69349744629903</v>
      </c>
      <c r="S130" s="36" t="n">
        <f aca="false">2*PI()*(0.259086+1342.227825*L130 - INT(0.259086+1342.227825*L130))</f>
        <v>1.5894980343343</v>
      </c>
      <c r="T130" s="36" t="n">
        <f aca="false">S130+(O130+412*SIN(2*S130)+541*SIN(Q130))/206264.8062</f>
        <v>1.4936067278027</v>
      </c>
      <c r="U130" s="36" t="n">
        <f aca="false">S130-2*R130</f>
        <v>-1.79749685826377</v>
      </c>
      <c r="V130" s="34" t="n">
        <f aca="false">-526*SIN(U130)+44*SIN(P130+U130)-31*SIN(-P130+U130)-23*SIN(Q130+U130)+11*SIN(-Q130+U130)-25*SIN(-2*P130+S130)+21*SIN(-P130+S130)</f>
        <v>524.79728187357</v>
      </c>
      <c r="W130" s="36" t="n">
        <f aca="false">2*PI()*(N130+O130/1296000-INT(N130+O130/1296000))</f>
        <v>2.41227559682002</v>
      </c>
      <c r="X130" s="35" t="n">
        <f aca="false">W130*180/PI()</f>
        <v>138.213210720189</v>
      </c>
      <c r="Y130" s="36" t="n">
        <f aca="false">(18520*SIN(T130)+V130)/206264.8062</f>
        <v>0.0920644281118512</v>
      </c>
      <c r="Z130" s="36" t="n">
        <f aca="false">Y130*180/PI()</f>
        <v>5.27490317409464</v>
      </c>
      <c r="AA130" s="36" t="n">
        <f aca="false">COS(Y130)*COS(W130)</f>
        <v>-0.742471968011723</v>
      </c>
      <c r="AB130" s="36" t="n">
        <f aca="false">COS(Y130)*SIN(W130)</f>
        <v>0.663538572710911</v>
      </c>
      <c r="AC130" s="36" t="n">
        <f aca="false">SIN(Y130)</f>
        <v>0.0919344290326832</v>
      </c>
      <c r="AD130" s="36" t="n">
        <f aca="false">COS($A$10*(23.4393-46.815*L130/3600))*AB130-SIN($A$10*(23.4393-46.815*L130/3600))*AC130</f>
        <v>0.572232935394892</v>
      </c>
      <c r="AE130" s="36" t="n">
        <f aca="false">SIN($A$10*(23.4393-46.815*L130/3600))*AB130+COS($A$10*(23.4393-46.815*L130/3600))*AC130</f>
        <v>0.348259736929413</v>
      </c>
      <c r="AF130" s="36" t="n">
        <f aca="false">SQRT(1-AE130*AE130)</f>
        <v>0.937398077464348</v>
      </c>
      <c r="AG130" s="35" t="n">
        <f aca="false">ATAN(AE130/AF130)/$A$10</f>
        <v>20.3809097375786</v>
      </c>
      <c r="AH130" s="36" t="n">
        <f aca="false">IF(24*ATAN(AD130/(AA130+AF130))/PI()&gt;0,24*ATAN(AD130/(AA130+AF130))/PI(),24*ATAN(AD130/(AA130+AF130))/PI()+24)</f>
        <v>9.49187231976622</v>
      </c>
      <c r="AI130" s="63" t="n">
        <f aca="false">IF(M130-15*AH130&gt;0,M130-15*AH130,360+M130-15*AH130)</f>
        <v>99.414827660645</v>
      </c>
      <c r="AJ130" s="32" t="n">
        <f aca="false">0.950724+0.051818*COS(P130)+0.009531*COS(2*R130-P130)+0.007843*COS(2*R130)+0.002824*COS(2*P130)+0.000857*COS(2*R130+P130)+0.000533*COS(2*R130-Q130)*(1-0.002495*(J130-2415020)/36525)+0.000401*COS(2*R130-Q130-P130)*(1-0.002495*(J130-2415020)/36525)+0.00032*COS(P130-Q130)*(1-0.002495*(J130-2415020)/36525)-0.000271*COS(R130)</f>
        <v>0.917650982823465</v>
      </c>
      <c r="AK130" s="36" t="n">
        <f aca="false">ASIN(COS($A$10*$B$5)*COS($A$10*AG130)*COS($A$10*AI130)+SIN($A$10*$B$5)*SIN($A$10*AG130))/$A$10</f>
        <v>9.6841613450962</v>
      </c>
      <c r="AL130" s="32" t="n">
        <f aca="false">ASIN((0.9983271+0.0016764*COS($A$10*2*$B$5))*COS($A$10*AK130)*SIN($A$10*AJ130))/$A$10</f>
        <v>0.902796636574406</v>
      </c>
      <c r="AM130" s="32" t="n">
        <f aca="false">AK130-AL130</f>
        <v>8.78136470852179</v>
      </c>
      <c r="AN130" s="35" t="n">
        <f aca="false"> MOD(280.4664567 + 360007.6982779*L130/10 + 0.03032028*L130^2/100 + L130^3/49931000,360)</f>
        <v>46.7986960535709</v>
      </c>
      <c r="AO130" s="32" t="n">
        <f aca="false"> AN130 + (1.9146 - 0.004817*L130 - 0.000014*L130^2)*SIN(Q130)+ (0.019993 - 0.000101*L130)*SIN(2*Q130)+ 0.00029*SIN(3*Q130)</f>
        <v>48.376479392095</v>
      </c>
      <c r="AP130" s="32" t="n">
        <f aca="false">ACOS(COS(W130-$A$10*AO130)*COS(Y130))/$A$10</f>
        <v>89.8374227624878</v>
      </c>
      <c r="AQ130" s="34" t="n">
        <f aca="false">180 - AP130 -0.1468*(1-0.0549*SIN(Q130))*SIN($A$10*AP130)/(1-0.0167*SIN($A$10*AO130))</f>
        <v>90.0207294579476</v>
      </c>
      <c r="AR130" s="64" t="n">
        <f aca="false">SIN($A$10*AI130)</f>
        <v>0.98652986120004</v>
      </c>
      <c r="AS130" s="64" t="n">
        <f aca="false">COS($A$10*AI130)*SIN($A$10*$B$5) - TAN($A$10*AG130)*COS($A$10*$B$5)</f>
        <v>-0.36411733460031</v>
      </c>
      <c r="AT130" s="24" t="n">
        <f aca="false">IF(OR(AND(AR130*AS130&gt;0), AND(AR130&lt;0,AS130&gt;0)), MOD(ATAN2(AS130,AR130)/$A$10+360,360),  ATAN2(AS130,AR130)/$A$10)</f>
        <v>110.258549642834</v>
      </c>
      <c r="AU130" s="39" t="n">
        <f aca="false"> 385000.56 + (-20905355*COS(P130) - 3699111*COS(2*R130-P130) - 2955968*COS(2*R130) - 569925*COS(2*P130) + (1-0.002516*L130)*48888*COS(Q130) - 3149*COS(2*S130)  +246158*COS(2*R130-2*P130) -(1 - 0.002516*L130)*152138*COS(2*R130-Q130-P130) -170733*COS(2*R130+P130) -(1 - 0.002516*L130)*204586*COS(2*R130-Q130) -(1 - 0.002516*L130)*129620*COS(Q130-P130)  + 108743*COS(R130) +(1-0.002516*L130)*104755*COS(Q130+P130) +10321*COS(2*R130-2*S130) +79661*COS(P130-2*S130) -34782*COS(4*R130-P130) -23210*COS(3*P130)  -21636*COS(4*R130-2*P130) +(1 - 0.002516*L130)*24208*COS(2*R130+Q130-P130) +(1 - 0.002516*L130)*30824*COS(2*R130+Q130) -8379*COS(R130-P130) -(1 - 0.002516*L130)*16675*COS(R130+Q130)  -(1 - 0.002516*L130)*12831*COS(2*R130-Q130+P130) -10445*COS(2*R130+2*P130) -11650*COS(4*R130) +14403*COS(2*R130-3*P130) -(1-0.002516*L130)*7003*COS(Q130-2*P130)  + (1 - 0.002516*L130)*10056*COS(2*R130-Q130-2*P130) +6322*COS(R130+P130) -(1 - 0.002516*L130)*(1-0.002516*L130)*9884*COS(2*R130-2*Q130) +(1-0.002516*L130)*5751*COS(Q130+2*P130) - (1-0.002516*L130)^2*4950*COS(2*R130-2*Q130-P130)  +4130*COS(2*R130+P130-2*S130) -(1-0.002516*L130)*3958*COS(4*R130-Q130-P130) +3258*COS(3*R130-P130) +(1 - 0.002516*L130)*2616*COS(2*R130+Q130+P130) -(1 - 0.002516*L130)*1897*COS(4*R130-Q130-2*P130)  -(1-0.002516*L130)^2*2117*COS(2*Q130-P130) +(1-0.002516*L130)^2*2354*COS(2*R130+2*Q130-P130) -1423*COS(4*R130+P130) -1117*COS(4*P130) -(1-0.002516*L130)*1571*COS(4*R130-Q130)  -1739*COS(R130-2*P130) -4421*COS(2*P130-2*S130) +(1-0.002516*L130)^2*1165*COS(2*Q130+P130) +8752*COS(2*R130-P130-2*S130))/1000</f>
        <v>398337.161508093</v>
      </c>
      <c r="AV130" s="54" t="n">
        <f aca="false">ATAN(0.99664719*TAN($A$10*input!$E$2))</f>
        <v>0.871010436227447</v>
      </c>
      <c r="AW130" s="54" t="n">
        <f aca="false">COS(AV130)</f>
        <v>0.644053912545845</v>
      </c>
      <c r="AX130" s="54" t="n">
        <f aca="false">0.99664719*SIN(AV130)</f>
        <v>0.762415269897027</v>
      </c>
      <c r="AY130" s="54" t="n">
        <f aca="false">6378.14/AU130</f>
        <v>0.0160119130634273</v>
      </c>
      <c r="AZ130" s="55" t="n">
        <f aca="false">M130-15*AH130</f>
        <v>99.414827660645</v>
      </c>
      <c r="BA130" s="56" t="n">
        <f aca="false">COS($A$10*AG130)*SIN($A$10*AZ130)</f>
        <v>0.924771195250088</v>
      </c>
      <c r="BB130" s="56" t="n">
        <f aca="false">COS($A$10*AG130)*COS($A$10*AZ130)-AW130*AY130</f>
        <v>-0.163653306316836</v>
      </c>
      <c r="BC130" s="56" t="n">
        <f aca="false">SIN($A$10*AG130)-AX130*AY130</f>
        <v>0.336052009909592</v>
      </c>
      <c r="BD130" s="57" t="n">
        <f aca="false">SQRT(BA130^2+BB130^2+BC130^2)</f>
        <v>0.997454320556579</v>
      </c>
      <c r="BE130" s="58" t="n">
        <f aca="false">AU130*BD130</f>
        <v>397323.122784491</v>
      </c>
    </row>
    <row r="131" customFormat="false" ht="15" hidden="false" customHeight="false" outlineLevel="0" collapsed="false">
      <c r="D131" s="41" t="n">
        <f aca="false">K131-INT(275*E131/9)+IF($A$8="common year",2,1)*INT((E131+9)/12)+30</f>
        <v>10</v>
      </c>
      <c r="E131" s="41" t="n">
        <f aca="false">IF(K131&lt;32,1,INT(9*(IF($A$8="common year",2,1)+K131)/275+0.98))</f>
        <v>5</v>
      </c>
      <c r="F131" s="42" t="n">
        <f aca="false">AM131</f>
        <v>12.5432667933436</v>
      </c>
      <c r="G131" s="60" t="n">
        <f aca="false">F131+1.02/(TAN($A$10*(F131+10.3/(F131+5.11)))*60)</f>
        <v>12.6161658739493</v>
      </c>
      <c r="H131" s="43" t="n">
        <f aca="false">100*(1+COS($A$10*AQ131))/2</f>
        <v>59.8263397262635</v>
      </c>
      <c r="I131" s="43" t="n">
        <f aca="false">IF(AI131&gt;180,AT131-180,AT131+180)</f>
        <v>279.220539757673</v>
      </c>
      <c r="J131" s="61" t="n">
        <f aca="false">$J$2+K130</f>
        <v>2459709.5</v>
      </c>
      <c r="K131" s="21" t="n">
        <v>130</v>
      </c>
      <c r="L131" s="62" t="n">
        <f aca="false">(J131-2451545)/36525</f>
        <v>0.2235318275154</v>
      </c>
      <c r="M131" s="63" t="n">
        <f aca="false">MOD(280.46061837+360.98564736629*(J131-2451545)+0.000387933*L131^2-L131^3/38710000+$B$7,360)</f>
        <v>242.778559827711</v>
      </c>
      <c r="N131" s="30" t="n">
        <f aca="false">0.606433+1336.855225*L131 - INT(0.606433+1336.855225*L131)</f>
        <v>0.436124567761794</v>
      </c>
      <c r="O131" s="35" t="n">
        <f aca="false">22640*SIN(P131)-4586*SIN(P131-2*R131)+2370*SIN(2*R131)+769*SIN(2*P131)-668*SIN(Q131)-412*SIN(2*S131)-212*SIN(2*P131-2*R131)-206*SIN(P131+Q131-2*R131)+192*SIN(P131+2*R131)-165*SIN(Q131-2*R131)-125*SIN(R131)-110*SIN(P131+Q131)+148*SIN(P131-Q131)-55*SIN(2*S131-2*R131)</f>
        <v>-23108.8425127417</v>
      </c>
      <c r="P131" s="32" t="n">
        <f aca="false">2*PI()*(0.374897+1325.55241*L131 - INT(0.374897+1325.55241*L131))</f>
        <v>4.26031175388504</v>
      </c>
      <c r="Q131" s="36" t="n">
        <f aca="false">2*PI()*(0.993133+99.997361*L131 - INT(0.993133+99.997361*L131))</f>
        <v>2.1722595876121</v>
      </c>
      <c r="R131" s="36" t="n">
        <f aca="false">2*PI()*(0.827361+1236.853086*L131 - INT(0.827361+1236.853086*L131))</f>
        <v>1.90626615641806</v>
      </c>
      <c r="S131" s="36" t="n">
        <f aca="false">2*PI()*(0.259086+1342.227825*L131 - INT(0.259086+1342.227825*L131))</f>
        <v>1.8203937536753</v>
      </c>
      <c r="T131" s="36" t="n">
        <f aca="false">S131+(O131+412*SIN(2*S131)+541*SIN(Q131))/206264.8062</f>
        <v>1.70956527074273</v>
      </c>
      <c r="U131" s="36" t="n">
        <f aca="false">S131-2*R131</f>
        <v>-1.99213855916082</v>
      </c>
      <c r="V131" s="34" t="n">
        <f aca="false">-526*SIN(U131)+44*SIN(P131+U131)-31*SIN(-P131+U131)-23*SIN(Q131+U131)+11*SIN(-Q131+U131)-25*SIN(-2*P131+S131)+21*SIN(-P131+S131)</f>
        <v>514.611058538172</v>
      </c>
      <c r="W131" s="36" t="n">
        <f aca="false">2*PI()*(N131+O131/1296000-INT(N131+O131/1296000))</f>
        <v>2.62821664621313</v>
      </c>
      <c r="X131" s="35" t="n">
        <f aca="false">W131*180/PI()</f>
        <v>150.58572147404</v>
      </c>
      <c r="Y131" s="36" t="n">
        <f aca="false">(18520*SIN(T131)+V131)/206264.8062</f>
        <v>0.0914192742053358</v>
      </c>
      <c r="Z131" s="36" t="n">
        <f aca="false">Y131*180/PI()</f>
        <v>5.23793857811493</v>
      </c>
      <c r="AA131" s="36" t="n">
        <f aca="false">COS(Y131)*COS(W131)</f>
        <v>-0.867453915433301</v>
      </c>
      <c r="AB131" s="36" t="n">
        <f aca="false">COS(Y131)*SIN(W131)</f>
        <v>0.489070012866772</v>
      </c>
      <c r="AC131" s="36" t="n">
        <f aca="false">SIN(Y131)</f>
        <v>0.0912919882242235</v>
      </c>
      <c r="AD131" s="36" t="n">
        <f aca="false">COS($A$10*(23.4393-46.815*L131/3600))*AB131-SIN($A$10*(23.4393-46.815*L131/3600))*AC131</f>
        <v>0.412413172022099</v>
      </c>
      <c r="AE131" s="36" t="n">
        <f aca="false">SIN($A$10*(23.4393-46.815*L131/3600))*AB131+COS($A$10*(23.4393-46.815*L131/3600))*AC131</f>
        <v>0.278278781336462</v>
      </c>
      <c r="AF131" s="36" t="n">
        <f aca="false">SQRT(1-AE131*AE131)</f>
        <v>0.96050034870264</v>
      </c>
      <c r="AG131" s="35" t="n">
        <f aca="false">ATAN(AE131/AF131)/$A$10</f>
        <v>16.1575038275734</v>
      </c>
      <c r="AH131" s="36" t="n">
        <f aca="false">IF(24*ATAN(AD131/(AA131+AF131))/PI()&gt;0,24*ATAN(AD131/(AA131+AF131))/PI(),24*ATAN(AD131/(AA131+AF131))/PI()+24)</f>
        <v>10.3048138249878</v>
      </c>
      <c r="AI131" s="63" t="n">
        <f aca="false">IF(M131-15*AH131&gt;0,M131-15*AH131,360+M131-15*AH131)</f>
        <v>88.2063524528939</v>
      </c>
      <c r="AJ131" s="32" t="n">
        <f aca="false">0.950724+0.051818*COS(P131)+0.009531*COS(2*R131-P131)+0.007843*COS(2*R131)+0.002824*COS(2*P131)+0.000857*COS(2*R131+P131)+0.000533*COS(2*R131-Q131)*(1-0.002495*(J131-2415020)/36525)+0.000401*COS(2*R131-Q131-P131)*(1-0.002495*(J131-2415020)/36525)+0.00032*COS(P131-Q131)*(1-0.002495*(J131-2415020)/36525)-0.000271*COS(R131)</f>
        <v>0.928152150184836</v>
      </c>
      <c r="AK131" s="36" t="n">
        <f aca="false">ASIN(COS($A$10*$B$5)*COS($A$10*AG131)*COS($A$10*AI131)+SIN($A$10*$B$5)*SIN($A$10*AG131))/$A$10</f>
        <v>13.4442093610815</v>
      </c>
      <c r="AL131" s="32" t="n">
        <f aca="false">ASIN((0.9983271+0.0016764*COS($A$10*2*$B$5))*COS($A$10*AK131)*SIN($A$10*AJ131))/$A$10</f>
        <v>0.900942567737955</v>
      </c>
      <c r="AM131" s="32" t="n">
        <f aca="false">AK131-AL131</f>
        <v>12.5432667933436</v>
      </c>
      <c r="AN131" s="35" t="n">
        <f aca="false"> MOD(280.4664567 + 360007.6982779*L131/10 + 0.03032028*L131^2/100 + L131^3/49931000,360)</f>
        <v>47.7843434173847</v>
      </c>
      <c r="AO131" s="32" t="n">
        <f aca="false"> AN131 + (1.9146 - 0.004817*L131 - 0.000014*L131^2)*SIN(Q131)+ (0.019993 - 0.000101*L131)*SIN(2*Q131)+ 0.00029*SIN(3*Q131)</f>
        <v>49.3434918614298</v>
      </c>
      <c r="AP131" s="32" t="n">
        <f aca="false">ACOS(COS(W131-$A$10*AO131)*COS(Y131))/$A$10</f>
        <v>101.194675970938</v>
      </c>
      <c r="AQ131" s="34" t="n">
        <f aca="false">180 - AP131 -0.1468*(1-0.0549*SIN(Q131))*SIN($A$10*AP131)/(1-0.0167*SIN($A$10*AO131))</f>
        <v>78.6660715035931</v>
      </c>
      <c r="AR131" s="64" t="n">
        <f aca="false">SIN($A$10*AI131)</f>
        <v>0.999510036771679</v>
      </c>
      <c r="AS131" s="64" t="n">
        <f aca="false">COS($A$10*AI131)*SIN($A$10*$B$5) - TAN($A$10*AG131)*COS($A$10*$B$5)</f>
        <v>-0.162253032920444</v>
      </c>
      <c r="AT131" s="24" t="n">
        <f aca="false">IF(OR(AND(AR131*AS131&gt;0), AND(AR131&lt;0,AS131&gt;0)), MOD(ATAN2(AS131,AR131)/$A$10+360,360),  ATAN2(AS131,AR131)/$A$10)</f>
        <v>99.2205397576725</v>
      </c>
      <c r="AU131" s="39" t="n">
        <f aca="false"> 385000.56 + (-20905355*COS(P131) - 3699111*COS(2*R131-P131) - 2955968*COS(2*R131) - 569925*COS(2*P131) + (1-0.002516*L131)*48888*COS(Q131) - 3149*COS(2*S131)  +246158*COS(2*R131-2*P131) -(1 - 0.002516*L131)*152138*COS(2*R131-Q131-P131) -170733*COS(2*R131+P131) -(1 - 0.002516*L131)*204586*COS(2*R131-Q131) -(1 - 0.002516*L131)*129620*COS(Q131-P131)  + 108743*COS(R131) +(1-0.002516*L131)*104755*COS(Q131+P131) +10321*COS(2*R131-2*S131) +79661*COS(P131-2*S131) -34782*COS(4*R131-P131) -23210*COS(3*P131)  -21636*COS(4*R131-2*P131) +(1 - 0.002516*L131)*24208*COS(2*R131+Q131-P131) +(1 - 0.002516*L131)*30824*COS(2*R131+Q131) -8379*COS(R131-P131) -(1 - 0.002516*L131)*16675*COS(R131+Q131)  -(1 - 0.002516*L131)*12831*COS(2*R131-Q131+P131) -10445*COS(2*R131+2*P131) -11650*COS(4*R131) +14403*COS(2*R131-3*P131) -(1-0.002516*L131)*7003*COS(Q131-2*P131)  + (1 - 0.002516*L131)*10056*COS(2*R131-Q131-2*P131) +6322*COS(R131+P131) -(1 - 0.002516*L131)*(1-0.002516*L131)*9884*COS(2*R131-2*Q131) +(1-0.002516*L131)*5751*COS(Q131+2*P131) - (1-0.002516*L131)^2*4950*COS(2*R131-2*Q131-P131)  +4130*COS(2*R131+P131-2*S131) -(1-0.002516*L131)*3958*COS(4*R131-Q131-P131) +3258*COS(3*R131-P131) +(1 - 0.002516*L131)*2616*COS(2*R131+Q131+P131) -(1 - 0.002516*L131)*1897*COS(4*R131-Q131-2*P131)  -(1-0.002516*L131)^2*2117*COS(2*Q131-P131) +(1-0.002516*L131)^2*2354*COS(2*R131+2*Q131-P131) -1423*COS(4*R131+P131) -1117*COS(4*P131) -(1-0.002516*L131)*1571*COS(4*R131-Q131)  -1739*COS(R131-2*P131) -4421*COS(2*P131-2*S131) +(1-0.002516*L131)^2*1165*COS(2*Q131+P131) +8752*COS(2*R131-P131-2*S131))/1000</f>
        <v>393812.407911605</v>
      </c>
      <c r="AV131" s="54" t="n">
        <f aca="false">ATAN(0.99664719*TAN($A$10*input!$E$2))</f>
        <v>0.871010436227447</v>
      </c>
      <c r="AW131" s="54" t="n">
        <f aca="false">COS(AV131)</f>
        <v>0.644053912545845</v>
      </c>
      <c r="AX131" s="54" t="n">
        <f aca="false">0.99664719*SIN(AV131)</f>
        <v>0.762415269897027</v>
      </c>
      <c r="AY131" s="54" t="n">
        <f aca="false">6378.14/AU131</f>
        <v>0.0161958838062604</v>
      </c>
      <c r="AZ131" s="55" t="n">
        <f aca="false">M131-15*AH131</f>
        <v>88.2063524528939</v>
      </c>
      <c r="BA131" s="56" t="n">
        <f aca="false">COS($A$10*AG131)*SIN($A$10*AZ131)</f>
        <v>0.960029738850987</v>
      </c>
      <c r="BB131" s="56" t="n">
        <f aca="false">COS($A$10*AG131)*COS($A$10*AZ131)-AW131*AY131</f>
        <v>0.0196325832329758</v>
      </c>
      <c r="BC131" s="56" t="n">
        <f aca="false">SIN($A$10*AG131)-AX131*AY131</f>
        <v>0.265930792213091</v>
      </c>
      <c r="BD131" s="57" t="n">
        <f aca="false">SQRT(BA131^2+BB131^2+BC131^2)</f>
        <v>0.99637428913525</v>
      </c>
      <c r="BE131" s="58" t="n">
        <f aca="false">AU131*BD131</f>
        <v>392384.557985567</v>
      </c>
    </row>
    <row r="132" customFormat="false" ht="15" hidden="false" customHeight="false" outlineLevel="0" collapsed="false">
      <c r="D132" s="41" t="n">
        <f aca="false">K132-INT(275*E132/9)+IF($A$8="common year",2,1)*INT((E132+9)/12)+30</f>
        <v>11</v>
      </c>
      <c r="E132" s="41" t="n">
        <f aca="false">IF(K132&lt;32,1,INT(9*(IF($A$8="common year",2,1)+K132)/275+0.98))</f>
        <v>5</v>
      </c>
      <c r="F132" s="42" t="n">
        <f aca="false">AM132</f>
        <v>15.7909574397533</v>
      </c>
      <c r="G132" s="60" t="n">
        <f aca="false">F132+1.02/(TAN($A$10*(F132+10.3/(F132+5.11)))*60)</f>
        <v>15.849154142344</v>
      </c>
      <c r="H132" s="43" t="n">
        <f aca="false">100*(1+COS($A$10*AQ132))/2</f>
        <v>69.5383547753959</v>
      </c>
      <c r="I132" s="43" t="n">
        <f aca="false">IF(AI132&gt;180,AT132-180,AT132+180)</f>
        <v>267.504491845857</v>
      </c>
      <c r="J132" s="61" t="n">
        <f aca="false">$J$2+K131</f>
        <v>2459710.5</v>
      </c>
      <c r="K132" s="21" t="n">
        <v>131</v>
      </c>
      <c r="L132" s="62" t="n">
        <f aca="false">(J132-2451545)/36525</f>
        <v>0.223559206023272</v>
      </c>
      <c r="M132" s="63" t="n">
        <f aca="false">MOD(280.46061837+360.98564736629*(J132-2451545)+0.000387933*L132^2-L132^3/38710000+$B$7,360)</f>
        <v>243.76420719875</v>
      </c>
      <c r="N132" s="30" t="n">
        <f aca="false">0.606433+1336.855225*L132 - INT(0.606433+1336.855225*L132)</f>
        <v>0.472725669062243</v>
      </c>
      <c r="O132" s="35" t="n">
        <f aca="false">22640*SIN(P132)-4586*SIN(P132-2*R132)+2370*SIN(2*R132)+769*SIN(2*P132)-668*SIN(Q132)-412*SIN(2*S132)-212*SIN(2*P132-2*R132)-206*SIN(P132+Q132-2*R132)+192*SIN(P132+2*R132)-165*SIN(Q132-2*R132)-125*SIN(R132)-110*SIN(P132+Q132)+148*SIN(P132-Q132)-55*SIN(2*S132-2*R132)</f>
        <v>-24873.7248746363</v>
      </c>
      <c r="P132" s="32" t="n">
        <f aca="false">2*PI()*(0.374897+1325.55241*L132 - INT(0.374897+1325.55241*L132))</f>
        <v>4.48833889766086</v>
      </c>
      <c r="Q132" s="36" t="n">
        <f aca="false">2*PI()*(0.993133+99.997361*L132 - INT(0.993133+99.997361*L132))</f>
        <v>2.18946155747908</v>
      </c>
      <c r="R132" s="36" t="n">
        <f aca="false">2*PI()*(0.827361+1236.853086*L132 - INT(0.827361+1236.853086*L132))</f>
        <v>2.11903486653708</v>
      </c>
      <c r="S132" s="36" t="n">
        <f aca="false">2*PI()*(0.259086+1342.227825*L132 - INT(0.259086+1342.227825*L132))</f>
        <v>2.05128947301631</v>
      </c>
      <c r="T132" s="36" t="n">
        <f aca="false">S132+(O132+412*SIN(2*S132)+541*SIN(Q132))/206264.8062</f>
        <v>1.9311975498226</v>
      </c>
      <c r="U132" s="36" t="n">
        <f aca="false">S132-2*R132</f>
        <v>-2.18678026005786</v>
      </c>
      <c r="V132" s="34" t="n">
        <f aca="false">-526*SIN(U132)+44*SIN(P132+U132)-31*SIN(-P132+U132)-23*SIN(Q132+U132)+11*SIN(-Q132+U132)-25*SIN(-2*P132+S132)+21*SIN(-P132+S132)</f>
        <v>485.625893824052</v>
      </c>
      <c r="W132" s="36" t="n">
        <f aca="false">2*PI()*(N132+O132/1296000-INT(N132+O132/1296000))</f>
        <v>2.84963175698474</v>
      </c>
      <c r="X132" s="35" t="n">
        <f aca="false">W132*180/PI()</f>
        <v>163.271872841675</v>
      </c>
      <c r="Y132" s="36" t="n">
        <f aca="false">(18520*SIN(T132)+V132)/206264.8062</f>
        <v>0.0863735136149195</v>
      </c>
      <c r="Z132" s="36" t="n">
        <f aca="false">Y132*180/PI()</f>
        <v>4.94883779185064</v>
      </c>
      <c r="AA132" s="36" t="n">
        <f aca="false">COS(Y132)*COS(W132)</f>
        <v>-0.954111196115278</v>
      </c>
      <c r="AB132" s="36" t="n">
        <f aca="false">COS(Y132)*SIN(W132)</f>
        <v>0.28675769491173</v>
      </c>
      <c r="AC132" s="36" t="n">
        <f aca="false">SIN(Y132)</f>
        <v>0.0862661570743948</v>
      </c>
      <c r="AD132" s="36" t="n">
        <f aca="false">COS($A$10*(23.4393-46.815*L132/3600))*AB132-SIN($A$10*(23.4393-46.815*L132/3600))*AC132</f>
        <v>0.22879010804807</v>
      </c>
      <c r="AE132" s="36" t="n">
        <f aca="false">SIN($A$10*(23.4393-46.815*L132/3600))*AB132+COS($A$10*(23.4393-46.815*L132/3600))*AC132</f>
        <v>0.193201738881474</v>
      </c>
      <c r="AF132" s="36" t="n">
        <f aca="false">SQRT(1-AE132*AE132)</f>
        <v>0.98115905341243</v>
      </c>
      <c r="AG132" s="35" t="n">
        <f aca="false">ATAN(AE132/AF132)/$A$10</f>
        <v>11.1396932929361</v>
      </c>
      <c r="AH132" s="36" t="n">
        <f aca="false">IF(24*ATAN(AD132/(AA132+AF132))/PI()&gt;0,24*ATAN(AD132/(AA132+AF132))/PI(),24*ATAN(AD132/(AA132+AF132))/PI()+24)</f>
        <v>11.1010286115146</v>
      </c>
      <c r="AI132" s="63" t="n">
        <f aca="false">IF(M132-15*AH132&gt;0,M132-15*AH132,360+M132-15*AH132)</f>
        <v>77.2487780260316</v>
      </c>
      <c r="AJ132" s="32" t="n">
        <f aca="false">0.950724+0.051818*COS(P132)+0.009531*COS(2*R132-P132)+0.007843*COS(2*R132)+0.002824*COS(2*P132)+0.000857*COS(2*R132+P132)+0.000533*COS(2*R132-Q132)*(1-0.002495*(J132-2415020)/36525)+0.000401*COS(2*R132-Q132-P132)*(1-0.002495*(J132-2415020)/36525)+0.00032*COS(P132-Q132)*(1-0.002495*(J132-2415020)/36525)-0.000271*COS(R132)</f>
        <v>0.941040734168212</v>
      </c>
      <c r="AK132" s="36" t="n">
        <f aca="false">ASIN(COS($A$10*$B$5)*COS($A$10*AG132)*COS($A$10*AI132)+SIN($A$10*$B$5)*SIN($A$10*AG132))/$A$10</f>
        <v>16.6905780555832</v>
      </c>
      <c r="AL132" s="32" t="n">
        <f aca="false">ASIN((0.9983271+0.0016764*COS($A$10*2*$B$5))*COS($A$10*AK132)*SIN($A$10*AJ132))/$A$10</f>
        <v>0.899620615829841</v>
      </c>
      <c r="AM132" s="32" t="n">
        <f aca="false">AK132-AL132</f>
        <v>15.7909574397533</v>
      </c>
      <c r="AN132" s="35" t="n">
        <f aca="false"> MOD(280.4664567 + 360007.6982779*L132/10 + 0.03032028*L132^2/100 + L132^3/49931000,360)</f>
        <v>48.7699907812003</v>
      </c>
      <c r="AO132" s="32" t="n">
        <f aca="false"> AN132 + (1.9146 - 0.004817*L132 - 0.000014*L132^2)*SIN(Q132)+ (0.019993 - 0.000101*L132)*SIN(2*Q132)+ 0.00029*SIN(3*Q132)</f>
        <v>50.3100593618518</v>
      </c>
      <c r="AP132" s="32" t="n">
        <f aca="false">ACOS(COS(W132-$A$10*AO132)*COS(Y132))/$A$10</f>
        <v>112.871347481548</v>
      </c>
      <c r="AQ132" s="34" t="n">
        <f aca="false">180 - AP132 -0.1468*(1-0.0549*SIN(Q132))*SIN($A$10*AP132)/(1-0.0167*SIN($A$10*AO132))</f>
        <v>66.9977612551933</v>
      </c>
      <c r="AR132" s="64" t="n">
        <f aca="false">SIN($A$10*AI132)</f>
        <v>0.97533761336896</v>
      </c>
      <c r="AS132" s="64" t="n">
        <f aca="false">COS($A$10*AI132)*SIN($A$10*$B$5) - TAN($A$10*AG132)*COS($A$10*$B$5)</f>
        <v>0.0425075503239612</v>
      </c>
      <c r="AT132" s="24" t="n">
        <f aca="false">IF(OR(AND(AR132*AS132&gt;0), AND(AR132&lt;0,AS132&gt;0)), MOD(ATAN2(AS132,AR132)/$A$10+360,360),  ATAN2(AS132,AR132)/$A$10)</f>
        <v>87.5044918458567</v>
      </c>
      <c r="AU132" s="39" t="n">
        <f aca="false"> 385000.56 + (-20905355*COS(P132) - 3699111*COS(2*R132-P132) - 2955968*COS(2*R132) - 569925*COS(2*P132) + (1-0.002516*L132)*48888*COS(Q132) - 3149*COS(2*S132)  +246158*COS(2*R132-2*P132) -(1 - 0.002516*L132)*152138*COS(2*R132-Q132-P132) -170733*COS(2*R132+P132) -(1 - 0.002516*L132)*204586*COS(2*R132-Q132) -(1 - 0.002516*L132)*129620*COS(Q132-P132)  + 108743*COS(R132) +(1-0.002516*L132)*104755*COS(Q132+P132) +10321*COS(2*R132-2*S132) +79661*COS(P132-2*S132) -34782*COS(4*R132-P132) -23210*COS(3*P132)  -21636*COS(4*R132-2*P132) +(1 - 0.002516*L132)*24208*COS(2*R132+Q132-P132) +(1 - 0.002516*L132)*30824*COS(2*R132+Q132) -8379*COS(R132-P132) -(1 - 0.002516*L132)*16675*COS(R132+Q132)  -(1 - 0.002516*L132)*12831*COS(2*R132-Q132+P132) -10445*COS(2*R132+2*P132) -11650*COS(4*R132) +14403*COS(2*R132-3*P132) -(1-0.002516*L132)*7003*COS(Q132-2*P132)  + (1 - 0.002516*L132)*10056*COS(2*R132-Q132-2*P132) +6322*COS(R132+P132) -(1 - 0.002516*L132)*(1-0.002516*L132)*9884*COS(2*R132-2*Q132) +(1-0.002516*L132)*5751*COS(Q132+2*P132) - (1-0.002516*L132)^2*4950*COS(2*R132-2*Q132-P132)  +4130*COS(2*R132+P132-2*S132) -(1-0.002516*L132)*3958*COS(4*R132-Q132-P132) +3258*COS(3*R132-P132) +(1 - 0.002516*L132)*2616*COS(2*R132+Q132+P132) -(1 - 0.002516*L132)*1897*COS(4*R132-Q132-2*P132)  -(1-0.002516*L132)^2*2117*COS(2*Q132-P132) +(1-0.002516*L132)^2*2354*COS(2*R132+2*Q132-P132) -1423*COS(4*R132+P132) -1117*COS(4*P132) -(1-0.002516*L132)*1571*COS(4*R132-Q132)  -1739*COS(R132-2*P132) -4421*COS(2*P132-2*S132) +(1-0.002516*L132)^2*1165*COS(2*Q132+P132) +8752*COS(2*R132-P132-2*S132))/1000</f>
        <v>388439.462692558</v>
      </c>
      <c r="AV132" s="54" t="n">
        <f aca="false">ATAN(0.99664719*TAN($A$10*input!$E$2))</f>
        <v>0.871010436227447</v>
      </c>
      <c r="AW132" s="54" t="n">
        <f aca="false">COS(AV132)</f>
        <v>0.644053912545845</v>
      </c>
      <c r="AX132" s="54" t="n">
        <f aca="false">0.99664719*SIN(AV132)</f>
        <v>0.762415269897027</v>
      </c>
      <c r="AY132" s="54" t="n">
        <f aca="false">6378.14/AU132</f>
        <v>0.016419907379617</v>
      </c>
      <c r="AZ132" s="55" t="n">
        <f aca="false">M132-15*AH132</f>
        <v>77.2487780260316</v>
      </c>
      <c r="BA132" s="56" t="n">
        <f aca="false">COS($A$10*AG132)*SIN($A$10*AZ132)</f>
        <v>0.956961329490627</v>
      </c>
      <c r="BB132" s="56" t="n">
        <f aca="false">COS($A$10*AG132)*COS($A$10*AZ132)-AW132*AY132</f>
        <v>0.205984390457221</v>
      </c>
      <c r="BC132" s="56" t="n">
        <f aca="false">SIN($A$10*AG132)-AX132*AY132</f>
        <v>0.180682950764959</v>
      </c>
      <c r="BD132" s="57" t="n">
        <f aca="false">SQRT(BA132^2+BB132^2+BC132^2)</f>
        <v>0.995414930543858</v>
      </c>
      <c r="BE132" s="58" t="n">
        <f aca="false">AU132*BD132</f>
        <v>386658.440776606</v>
      </c>
    </row>
    <row r="133" customFormat="false" ht="15" hidden="false" customHeight="false" outlineLevel="0" collapsed="false">
      <c r="D133" s="41" t="n">
        <f aca="false">K133-INT(275*E133/9)+IF($A$8="common year",2,1)*INT((E133+9)/12)+30</f>
        <v>12</v>
      </c>
      <c r="E133" s="41" t="n">
        <f aca="false">IF(K133&lt;32,1,INT(9*(IF($A$8="common year",2,1)+K133)/275+0.98))</f>
        <v>5</v>
      </c>
      <c r="F133" s="42" t="n">
        <f aca="false">AM133</f>
        <v>18.3620797559274</v>
      </c>
      <c r="G133" s="60" t="n">
        <f aca="false">F133+1.02/(TAN($A$10*(F133+10.3/(F133+5.11)))*60)</f>
        <v>18.4120143596158</v>
      </c>
      <c r="H133" s="43" t="n">
        <f aca="false">100*(1+COS($A$10*AQ133))/2</f>
        <v>78.719309330853</v>
      </c>
      <c r="I133" s="43" t="n">
        <f aca="false">IF(AI133&gt;180,AT133-180,AT133+180)</f>
        <v>255.006340652319</v>
      </c>
      <c r="J133" s="61" t="n">
        <f aca="false">$J$2+K132</f>
        <v>2459711.5</v>
      </c>
      <c r="K133" s="21" t="n">
        <v>132</v>
      </c>
      <c r="L133" s="62" t="n">
        <f aca="false">(J133-2451545)/36525</f>
        <v>0.223586584531143</v>
      </c>
      <c r="M133" s="63" t="n">
        <f aca="false">MOD(280.46061837+360.98564736629*(J133-2451545)+0.000387933*L133^2-L133^3/38710000+$B$7,360)</f>
        <v>244.749854569789</v>
      </c>
      <c r="N133" s="30" t="n">
        <f aca="false">0.606433+1336.855225*L133 - INT(0.606433+1336.855225*L133)</f>
        <v>0.509326770362748</v>
      </c>
      <c r="O133" s="35" t="n">
        <f aca="false">22640*SIN(P133)-4586*SIN(P133-2*R133)+2370*SIN(2*R133)+769*SIN(2*P133)-668*SIN(Q133)-412*SIN(2*S133)-212*SIN(2*P133-2*R133)-206*SIN(P133+Q133-2*R133)+192*SIN(P133+2*R133)-165*SIN(Q133-2*R133)-125*SIN(R133)-110*SIN(P133+Q133)+148*SIN(P133-Q133)-55*SIN(2*S133-2*R133)</f>
        <v>-25282.6865567977</v>
      </c>
      <c r="P133" s="32" t="n">
        <f aca="false">2*PI()*(0.374897+1325.55241*L133 - INT(0.374897+1325.55241*L133))</f>
        <v>4.71636604143632</v>
      </c>
      <c r="Q133" s="36" t="n">
        <f aca="false">2*PI()*(0.993133+99.997361*L133 - INT(0.993133+99.997361*L133))</f>
        <v>2.20666352734609</v>
      </c>
      <c r="R133" s="36" t="n">
        <f aca="false">2*PI()*(0.827361+1236.853086*L133 - INT(0.827361+1236.853086*L133))</f>
        <v>2.33180357665611</v>
      </c>
      <c r="S133" s="36" t="n">
        <f aca="false">2*PI()*(0.259086+1342.227825*L133 - INT(0.259086+1342.227825*L133))</f>
        <v>2.28218519235731</v>
      </c>
      <c r="T133" s="36" t="n">
        <f aca="false">S133+(O133+412*SIN(2*S133)+541*SIN(Q133))/206264.8062</f>
        <v>2.15974590391552</v>
      </c>
      <c r="U133" s="36" t="n">
        <f aca="false">S133-2*R133</f>
        <v>-2.38142196095491</v>
      </c>
      <c r="V133" s="34" t="n">
        <f aca="false">-526*SIN(U133)+44*SIN(P133+U133)-31*SIN(-P133+U133)-23*SIN(Q133+U133)+11*SIN(-Q133+U133)-25*SIN(-2*P133+S133)+21*SIN(-P133+S133)</f>
        <v>437.088101497508</v>
      </c>
      <c r="W133" s="36" t="n">
        <f aca="false">2*PI()*(N133+O133/1296000-INT(N133+O133/1296000))</f>
        <v>3.07762055671705</v>
      </c>
      <c r="X133" s="35" t="n">
        <f aca="false">W133*180/PI()</f>
        <v>176.33466884259</v>
      </c>
      <c r="Y133" s="36" t="n">
        <f aca="false">(18520*SIN(T133)+V133)/206264.8062</f>
        <v>0.0767795758854432</v>
      </c>
      <c r="Z133" s="36" t="n">
        <f aca="false">Y133*180/PI()</f>
        <v>4.39914565104033</v>
      </c>
      <c r="AA133" s="36" t="n">
        <f aca="false">COS(Y133)*COS(W133)</f>
        <v>-0.995014405542245</v>
      </c>
      <c r="AB133" s="36" t="n">
        <f aca="false">COS(Y133)*SIN(W133)</f>
        <v>0.0637401323321293</v>
      </c>
      <c r="AC133" s="36" t="n">
        <f aca="false">SIN(Y133)</f>
        <v>0.0767041608629906</v>
      </c>
      <c r="AD133" s="36" t="n">
        <f aca="false">COS($A$10*(23.4393-46.815*L133/3600))*AB133-SIN($A$10*(23.4393-46.815*L133/3600))*AC133</f>
        <v>0.0279741081148157</v>
      </c>
      <c r="AE133" s="36" t="n">
        <f aca="false">SIN($A$10*(23.4393-46.815*L133/3600))*AB133+COS($A$10*(23.4393-46.815*L133/3600))*AC133</f>
        <v>0.0957276451115011</v>
      </c>
      <c r="AF133" s="36" t="n">
        <f aca="false">SQRT(1-AE133*AE133)</f>
        <v>0.995407563745327</v>
      </c>
      <c r="AG133" s="35" t="n">
        <f aca="false">ATAN(AE133/AF133)/$A$10</f>
        <v>5.49320168449558</v>
      </c>
      <c r="AH133" s="36" t="n">
        <f aca="false">IF(24*ATAN(AD133/(AA133+AF133))/PI()&gt;0,24*ATAN(AD133/(AA133+AF133))/PI(),24*ATAN(AD133/(AA133+AF133))/PI()+24)</f>
        <v>11.8926396622146</v>
      </c>
      <c r="AI133" s="63" t="n">
        <f aca="false">IF(M133-15*AH133&gt;0,M133-15*AH133,360+M133-15*AH133)</f>
        <v>66.3602596365698</v>
      </c>
      <c r="AJ133" s="32" t="n">
        <f aca="false">0.950724+0.051818*COS(P133)+0.009531*COS(2*R133-P133)+0.007843*COS(2*R133)+0.002824*COS(2*P133)+0.000857*COS(2*R133+P133)+0.000533*COS(2*R133-Q133)*(1-0.002495*(J133-2415020)/36525)+0.000401*COS(2*R133-Q133-P133)*(1-0.002495*(J133-2415020)/36525)+0.00032*COS(P133-Q133)*(1-0.002495*(J133-2415020)/36525)-0.000271*COS(R133)</f>
        <v>0.955649126587174</v>
      </c>
      <c r="AK133" s="36" t="n">
        <f aca="false">ASIN(COS($A$10*$B$5)*COS($A$10*AG133)*COS($A$10*AI133)+SIN($A$10*$B$5)*SIN($A$10*AG133))/$A$10</f>
        <v>19.2624525911974</v>
      </c>
      <c r="AL133" s="32" t="n">
        <f aca="false">ASIN((0.9983271+0.0016764*COS($A$10*2*$B$5))*COS($A$10*AK133)*SIN($A$10*AJ133))/$A$10</f>
        <v>0.900372835270018</v>
      </c>
      <c r="AM133" s="32" t="n">
        <f aca="false">AK133-AL133</f>
        <v>18.3620797559274</v>
      </c>
      <c r="AN133" s="35" t="n">
        <f aca="false"> MOD(280.4664567 + 360007.6982779*L133/10 + 0.03032028*L133^2/100 + L133^3/49931000,360)</f>
        <v>49.755638145014</v>
      </c>
      <c r="AO133" s="32" t="n">
        <f aca="false"> AN133 + (1.9146 - 0.004817*L133 - 0.000014*L133^2)*SIN(Q133)+ (0.019993 - 0.000101*L133)*SIN(2*Q133)+ 0.00029*SIN(3*Q133)</f>
        <v>51.2761877144098</v>
      </c>
      <c r="AP133" s="32" t="n">
        <f aca="false">ACOS(COS(W133-$A$10*AO133)*COS(Y133))/$A$10</f>
        <v>124.940115335992</v>
      </c>
      <c r="AQ133" s="34" t="n">
        <f aca="false">180 - AP133 -0.1468*(1-0.0549*SIN(Q133))*SIN($A$10*AP133)/(1-0.0167*SIN($A$10*AO133))</f>
        <v>54.9433422055808</v>
      </c>
      <c r="AR133" s="64" t="n">
        <f aca="false">SIN($A$10*AI133)</f>
        <v>0.916084826997897</v>
      </c>
      <c r="AS133" s="64" t="n">
        <f aca="false">COS($A$10*AI133)*SIN($A$10*$B$5) - TAN($A$10*AG133)*COS($A$10*$B$5)</f>
        <v>0.245355535380796</v>
      </c>
      <c r="AT133" s="24" t="n">
        <f aca="false">IF(OR(AND(AR133*AS133&gt;0), AND(AR133&lt;0,AS133&gt;0)), MOD(ATAN2(AS133,AR133)/$A$10+360,360),  ATAN2(AS133,AR133)/$A$10)</f>
        <v>75.0063406523187</v>
      </c>
      <c r="AU133" s="39" t="n">
        <f aca="false"> 385000.56 + (-20905355*COS(P133) - 3699111*COS(2*R133-P133) - 2955968*COS(2*R133) - 569925*COS(2*P133) + (1-0.002516*L133)*48888*COS(Q133) - 3149*COS(2*S133)  +246158*COS(2*R133-2*P133) -(1 - 0.002516*L133)*152138*COS(2*R133-Q133-P133) -170733*COS(2*R133+P133) -(1 - 0.002516*L133)*204586*COS(2*R133-Q133) -(1 - 0.002516*L133)*129620*COS(Q133-P133)  + 108743*COS(R133) +(1-0.002516*L133)*104755*COS(Q133+P133) +10321*COS(2*R133-2*S133) +79661*COS(P133-2*S133) -34782*COS(4*R133-P133) -23210*COS(3*P133)  -21636*COS(4*R133-2*P133) +(1 - 0.002516*L133)*24208*COS(2*R133+Q133-P133) +(1 - 0.002516*L133)*30824*COS(2*R133+Q133) -8379*COS(R133-P133) -(1 - 0.002516*L133)*16675*COS(R133+Q133)  -(1 - 0.002516*L133)*12831*COS(2*R133-Q133+P133) -10445*COS(2*R133+2*P133) -11650*COS(4*R133) +14403*COS(2*R133-3*P133) -(1-0.002516*L133)*7003*COS(Q133-2*P133)  + (1 - 0.002516*L133)*10056*COS(2*R133-Q133-2*P133) +6322*COS(R133+P133) -(1 - 0.002516*L133)*(1-0.002516*L133)*9884*COS(2*R133-2*Q133) +(1-0.002516*L133)*5751*COS(Q133+2*P133) - (1-0.002516*L133)^2*4950*COS(2*R133-2*Q133-P133)  +4130*COS(2*R133+P133-2*S133) -(1-0.002516*L133)*3958*COS(4*R133-Q133-P133) +3258*COS(3*R133-P133) +(1 - 0.002516*L133)*2616*COS(2*R133+Q133+P133) -(1 - 0.002516*L133)*1897*COS(4*R133-Q133-2*P133)  -(1-0.002516*L133)^2*2117*COS(2*Q133-P133) +(1-0.002516*L133)^2*2354*COS(2*R133+2*Q133-P133) -1423*COS(4*R133+P133) -1117*COS(4*P133) -(1-0.002516*L133)*1571*COS(4*R133-Q133)  -1739*COS(R133-2*P133) -4421*COS(2*P133-2*S133) +(1-0.002516*L133)^2*1165*COS(2*Q133+P133) +8752*COS(2*R133-P133-2*S133))/1000</f>
        <v>382541.627523703</v>
      </c>
      <c r="AV133" s="54" t="n">
        <f aca="false">ATAN(0.99664719*TAN($A$10*input!$E$2))</f>
        <v>0.871010436227447</v>
      </c>
      <c r="AW133" s="54" t="n">
        <f aca="false">COS(AV133)</f>
        <v>0.644053912545845</v>
      </c>
      <c r="AX133" s="54" t="n">
        <f aca="false">0.99664719*SIN(AV133)</f>
        <v>0.762415269897027</v>
      </c>
      <c r="AY133" s="54" t="n">
        <f aca="false">6378.14/AU133</f>
        <v>0.0166730612856108</v>
      </c>
      <c r="AZ133" s="55" t="n">
        <f aca="false">M133-15*AH133</f>
        <v>66.3602596365698</v>
      </c>
      <c r="BA133" s="56" t="n">
        <f aca="false">COS($A$10*AG133)*SIN($A$10*AZ133)</f>
        <v>0.911877765826036</v>
      </c>
      <c r="BB133" s="56" t="n">
        <f aca="false">COS($A$10*AG133)*COS($A$10*AZ133)-AW133*AY133</f>
        <v>0.388404679339159</v>
      </c>
      <c r="BC133" s="56" t="n">
        <f aca="false">SIN($A$10*AG133)-AX133*AY133</f>
        <v>0.0830158485914225</v>
      </c>
      <c r="BD133" s="57" t="n">
        <f aca="false">SQRT(BA133^2+BB133^2+BC133^2)</f>
        <v>0.994620975979188</v>
      </c>
      <c r="BE133" s="58" t="n">
        <f aca="false">AU133*BD133</f>
        <v>380483.926920293</v>
      </c>
    </row>
    <row r="134" customFormat="false" ht="15" hidden="false" customHeight="false" outlineLevel="0" collapsed="false">
      <c r="D134" s="41" t="n">
        <f aca="false">K134-INT(275*E134/9)+IF($A$8="common year",2,1)*INT((E134+9)/12)+30</f>
        <v>13</v>
      </c>
      <c r="E134" s="41" t="n">
        <f aca="false">IF(K134&lt;32,1,INT(9*(IF($A$8="common year",2,1)+K134)/275+0.98))</f>
        <v>5</v>
      </c>
      <c r="F134" s="42" t="n">
        <f aca="false">AM134</f>
        <v>20.0764571551269</v>
      </c>
      <c r="G134" s="60" t="n">
        <f aca="false">F134+1.02/(TAN($A$10*(F134+10.3/(F134+5.11)))*60)</f>
        <v>20.1219610480781</v>
      </c>
      <c r="H134" s="43" t="n">
        <f aca="false">100*(1+COS($A$10*AQ134))/2</f>
        <v>86.8919622948807</v>
      </c>
      <c r="I134" s="43" t="n">
        <f aca="false">IF(AI134&gt;180,AT134-180,AT134+180)</f>
        <v>241.706086780761</v>
      </c>
      <c r="J134" s="61" t="n">
        <f aca="false">$J$2+K133</f>
        <v>2459712.5</v>
      </c>
      <c r="K134" s="21" t="n">
        <v>133</v>
      </c>
      <c r="L134" s="62" t="n">
        <f aca="false">(J134-2451545)/36525</f>
        <v>0.223613963039014</v>
      </c>
      <c r="M134" s="63" t="n">
        <f aca="false">MOD(280.46061837+360.98564736629*(J134-2451545)+0.000387933*L134^2-L134^3/38710000+$B$7,360)</f>
        <v>245.735501941293</v>
      </c>
      <c r="N134" s="30" t="n">
        <f aca="false">0.606433+1336.855225*L134 - INT(0.606433+1336.855225*L134)</f>
        <v>0.545927871663253</v>
      </c>
      <c r="O134" s="35" t="n">
        <f aca="false">22640*SIN(P134)-4586*SIN(P134-2*R134)+2370*SIN(2*R134)+769*SIN(2*P134)-668*SIN(Q134)-412*SIN(2*S134)-212*SIN(2*P134-2*R134)-206*SIN(P134+Q134-2*R134)+192*SIN(P134+2*R134)-165*SIN(Q134-2*R134)-125*SIN(R134)-110*SIN(P134+Q134)+148*SIN(P134-Q134)-55*SIN(2*S134-2*R134)</f>
        <v>-24183.4880703538</v>
      </c>
      <c r="P134" s="32" t="n">
        <f aca="false">2*PI()*(0.374897+1325.55241*L134 - INT(0.374897+1325.55241*L134))</f>
        <v>4.94439318521214</v>
      </c>
      <c r="Q134" s="36" t="n">
        <f aca="false">2*PI()*(0.993133+99.997361*L134 - INT(0.993133+99.997361*L134))</f>
        <v>2.22386549721307</v>
      </c>
      <c r="R134" s="36" t="n">
        <f aca="false">2*PI()*(0.827361+1236.853086*L134 - INT(0.827361+1236.853086*L134))</f>
        <v>2.54457228677477</v>
      </c>
      <c r="S134" s="36" t="n">
        <f aca="false">2*PI()*(0.259086+1342.227825*L134 - INT(0.259086+1342.227825*L134))</f>
        <v>2.51308091169831</v>
      </c>
      <c r="T134" s="36" t="n">
        <f aca="false">S134+(O134+412*SIN(2*S134)+541*SIN(Q134))/206264.8062</f>
        <v>2.39601926398334</v>
      </c>
      <c r="U134" s="36" t="n">
        <f aca="false">S134-2*R134</f>
        <v>-2.57606366185124</v>
      </c>
      <c r="V134" s="34" t="n">
        <f aca="false">-526*SIN(U134)+44*SIN(P134+U134)-31*SIN(-P134+U134)-23*SIN(Q134+U134)+11*SIN(-Q134+U134)-25*SIN(-2*P134+S134)+21*SIN(-P134+S134)</f>
        <v>369.282041233853</v>
      </c>
      <c r="W134" s="36" t="n">
        <f aca="false">2*PI()*(N134+O134/1296000-INT(N134+O134/1296000))</f>
        <v>3.3129211232798</v>
      </c>
      <c r="X134" s="35" t="n">
        <f aca="false">W134*180/PI()</f>
        <v>189.816398223673</v>
      </c>
      <c r="Y134" s="36" t="n">
        <f aca="false">(18520*SIN(T134)+V134)/206264.8062</f>
        <v>0.0627015542404156</v>
      </c>
      <c r="Z134" s="36" t="n">
        <f aca="false">Y134*180/PI()</f>
        <v>3.59253442688642</v>
      </c>
      <c r="AA134" s="36" t="n">
        <f aca="false">COS(Y134)*COS(W134)</f>
        <v>-0.983422815869794</v>
      </c>
      <c r="AB134" s="36" t="n">
        <f aca="false">COS(Y134)*SIN(W134)</f>
        <v>-0.170156486252321</v>
      </c>
      <c r="AC134" s="36" t="n">
        <f aca="false">SIN(Y134)</f>
        <v>0.0626604772802589</v>
      </c>
      <c r="AD134" s="36" t="n">
        <f aca="false">COS($A$10*(23.4393-46.815*L134/3600))*AB134-SIN($A$10*(23.4393-46.815*L134/3600))*AC134</f>
        <v>-0.181040945907743</v>
      </c>
      <c r="AE134" s="36" t="n">
        <f aca="false">SIN($A$10*(23.4393-46.815*L134/3600))*AB134+COS($A$10*(23.4393-46.815*L134/3600))*AC134</f>
        <v>-0.0101853390496275</v>
      </c>
      <c r="AF134" s="36" t="n">
        <f aca="false">SQRT(1-AE134*AE134)</f>
        <v>0.999948128088875</v>
      </c>
      <c r="AG134" s="35" t="n">
        <f aca="false">ATAN(AE134/AF134)/$A$10</f>
        <v>-0.583587031079876</v>
      </c>
      <c r="AH134" s="36" t="n">
        <f aca="false">IF(24*ATAN(AD134/(AA134+AF134))/PI()&gt;0,24*ATAN(AD134/(AA134+AF134))/PI(),24*ATAN(AD134/(AA134+AF134))/PI()+24)</f>
        <v>12.6953963303081</v>
      </c>
      <c r="AI134" s="63" t="n">
        <f aca="false">IF(M134-15*AH134&gt;0,M134-15*AH134,360+M134-15*AH134)</f>
        <v>55.3045569866714</v>
      </c>
      <c r="AJ134" s="32" t="n">
        <f aca="false">0.950724+0.051818*COS(P134)+0.009531*COS(2*R134-P134)+0.007843*COS(2*R134)+0.002824*COS(2*P134)+0.000857*COS(2*R134+P134)+0.000533*COS(2*R134-Q134)*(1-0.002495*(J134-2415020)/36525)+0.000401*COS(2*R134-Q134-P134)*(1-0.002495*(J134-2415020)/36525)+0.00032*COS(P134-Q134)*(1-0.002495*(J134-2415020)/36525)-0.000271*COS(R134)</f>
        <v>0.970953959815055</v>
      </c>
      <c r="AK134" s="36" t="n">
        <f aca="false">ASIN(COS($A$10*$B$5)*COS($A$10*AG134)*COS($A$10*AI134)+SIN($A$10*$B$5)*SIN($A$10*AG134))/$A$10</f>
        <v>20.9812483750939</v>
      </c>
      <c r="AL134" s="32" t="n">
        <f aca="false">ASIN((0.9983271+0.0016764*COS($A$10*2*$B$5))*COS($A$10*AK134)*SIN($A$10*AJ134))/$A$10</f>
        <v>0.904791219966932</v>
      </c>
      <c r="AM134" s="32" t="n">
        <f aca="false">AK134-AL134</f>
        <v>20.0764571551269</v>
      </c>
      <c r="AN134" s="35" t="n">
        <f aca="false"> MOD(280.4664567 + 360007.6982779*L134/10 + 0.03032028*L134^2/100 + L134^3/49931000,360)</f>
        <v>50.7412855088314</v>
      </c>
      <c r="AO134" s="32" t="n">
        <f aca="false"> AN134 + (1.9146 - 0.004817*L134 - 0.000014*L134^2)*SIN(Q134)+ (0.019993 - 0.000101*L134)*SIN(2*Q134)+ 0.00029*SIN(3*Q134)</f>
        <v>52.2418828507959</v>
      </c>
      <c r="AP134" s="32" t="n">
        <f aca="false">ACOS(COS(W134-$A$10*AO134)*COS(Y134))/$A$10</f>
        <v>137.451466129173</v>
      </c>
      <c r="AQ134" s="34" t="n">
        <f aca="false">180 - AP134 -0.1468*(1-0.0549*SIN(Q134))*SIN($A$10*AP134)/(1-0.0167*SIN($A$10*AO134))</f>
        <v>42.4523236910189</v>
      </c>
      <c r="AR134" s="64" t="n">
        <f aca="false">SIN($A$10*AI134)</f>
        <v>0.822189315747864</v>
      </c>
      <c r="AS134" s="64" t="n">
        <f aca="false">COS($A$10*AI134)*SIN($A$10*$B$5) - TAN($A$10*AG134)*COS($A$10*$B$5)</f>
        <v>0.442590672802411</v>
      </c>
      <c r="AT134" s="24" t="n">
        <f aca="false">IF(OR(AND(AR134*AS134&gt;0), AND(AR134&lt;0,AS134&gt;0)), MOD(ATAN2(AS134,AR134)/$A$10+360,360),  ATAN2(AS134,AR134)/$A$10)</f>
        <v>61.7060867807612</v>
      </c>
      <c r="AU134" s="39" t="n">
        <f aca="false"> 385000.56 + (-20905355*COS(P134) - 3699111*COS(2*R134-P134) - 2955968*COS(2*R134) - 569925*COS(2*P134) + (1-0.002516*L134)*48888*COS(Q134) - 3149*COS(2*S134)  +246158*COS(2*R134-2*P134) -(1 - 0.002516*L134)*152138*COS(2*R134-Q134-P134) -170733*COS(2*R134+P134) -(1 - 0.002516*L134)*204586*COS(2*R134-Q134) -(1 - 0.002516*L134)*129620*COS(Q134-P134)  + 108743*COS(R134) +(1-0.002516*L134)*104755*COS(Q134+P134) +10321*COS(2*R134-2*S134) +79661*COS(P134-2*S134) -34782*COS(4*R134-P134) -23210*COS(3*P134)  -21636*COS(4*R134-2*P134) +(1 - 0.002516*L134)*24208*COS(2*R134+Q134-P134) +(1 - 0.002516*L134)*30824*COS(2*R134+Q134) -8379*COS(R134-P134) -(1 - 0.002516*L134)*16675*COS(R134+Q134)  -(1 - 0.002516*L134)*12831*COS(2*R134-Q134+P134) -10445*COS(2*R134+2*P134) -11650*COS(4*R134) +14403*COS(2*R134-3*P134) -(1-0.002516*L134)*7003*COS(Q134-2*P134)  + (1 - 0.002516*L134)*10056*COS(2*R134-Q134-2*P134) +6322*COS(R134+P134) -(1 - 0.002516*L134)*(1-0.002516*L134)*9884*COS(2*R134-2*Q134) +(1-0.002516*L134)*5751*COS(Q134+2*P134) - (1-0.002516*L134)^2*4950*COS(2*R134-2*Q134-P134)  +4130*COS(2*R134+P134-2*S134) -(1-0.002516*L134)*3958*COS(4*R134-Q134-P134) +3258*COS(3*R134-P134) +(1 - 0.002516*L134)*2616*COS(2*R134+Q134+P134) -(1 - 0.002516*L134)*1897*COS(4*R134-Q134-2*P134)  -(1-0.002516*L134)^2*2117*COS(2*Q134-P134) +(1-0.002516*L134)^2*2354*COS(2*R134+2*Q134-P134) -1423*COS(4*R134+P134) -1117*COS(4*P134) -(1-0.002516*L134)*1571*COS(4*R134-Q134)  -1739*COS(R134-2*P134) -4421*COS(2*P134-2*S134) +(1-0.002516*L134)^2*1165*COS(2*Q134+P134) +8752*COS(2*R134-P134-2*S134))/1000</f>
        <v>376534.327078097</v>
      </c>
      <c r="AV134" s="54" t="n">
        <f aca="false">ATAN(0.99664719*TAN($A$10*input!$E$2))</f>
        <v>0.871010436227447</v>
      </c>
      <c r="AW134" s="54" t="n">
        <f aca="false">COS(AV134)</f>
        <v>0.644053912545845</v>
      </c>
      <c r="AX134" s="54" t="n">
        <f aca="false">0.99664719*SIN(AV134)</f>
        <v>0.762415269897027</v>
      </c>
      <c r="AY134" s="54" t="n">
        <f aca="false">6378.14/AU134</f>
        <v>0.0169390664843078</v>
      </c>
      <c r="AZ134" s="55" t="n">
        <f aca="false">M134-15*AH134</f>
        <v>55.3045569866714</v>
      </c>
      <c r="BA134" s="56" t="n">
        <f aca="false">COS($A$10*AG134)*SIN($A$10*AZ134)</f>
        <v>0.822146667216749</v>
      </c>
      <c r="BB134" s="56" t="n">
        <f aca="false">COS($A$10*AG134)*COS($A$10*AZ134)-AW134*AY134</f>
        <v>0.558274934610757</v>
      </c>
      <c r="BC134" s="56" t="n">
        <f aca="false">SIN($A$10*AG134)-AX134*AY134</f>
        <v>-0.0230999419950647</v>
      </c>
      <c r="BD134" s="57" t="n">
        <f aca="false">SQRT(BA134^2+BB134^2+BC134^2)</f>
        <v>0.994047107711918</v>
      </c>
      <c r="BE134" s="58" t="n">
        <f aca="false">AU134*BD134</f>
        <v>374292.858786236</v>
      </c>
    </row>
    <row r="135" customFormat="false" ht="15" hidden="false" customHeight="false" outlineLevel="0" collapsed="false">
      <c r="D135" s="41" t="n">
        <f aca="false">K135-INT(275*E135/9)+IF($A$8="common year",2,1)*INT((E135+9)/12)+30</f>
        <v>14</v>
      </c>
      <c r="E135" s="41" t="n">
        <f aca="false">IF(K135&lt;32,1,INT(9*(IF($A$8="common year",2,1)+K135)/275+0.98))</f>
        <v>5</v>
      </c>
      <c r="F135" s="42" t="n">
        <f aca="false">AM135</f>
        <v>20.7628066379709</v>
      </c>
      <c r="G135" s="60" t="n">
        <f aca="false">F135+1.02/(TAN($A$10*(F135+10.3/(F135+5.11)))*60)</f>
        <v>20.8067241056305</v>
      </c>
      <c r="H135" s="43" t="n">
        <f aca="false">100*(1+COS($A$10*AQ135))/2</f>
        <v>93.5135944928862</v>
      </c>
      <c r="I135" s="43" t="n">
        <f aca="false">IF(AI135&gt;180,AT135-180,AT135+180)</f>
        <v>227.702312235762</v>
      </c>
      <c r="J135" s="61" t="n">
        <f aca="false">$J$2+K134</f>
        <v>2459713.5</v>
      </c>
      <c r="K135" s="21" t="n">
        <v>134</v>
      </c>
      <c r="L135" s="62" t="n">
        <f aca="false">(J135-2451545)/36525</f>
        <v>0.223641341546886</v>
      </c>
      <c r="M135" s="63" t="n">
        <f aca="false">MOD(280.46061837+360.98564736629*(J135-2451545)+0.000387933*L135^2-L135^3/38710000+$B$7,360)</f>
        <v>246.721149312332</v>
      </c>
      <c r="N135" s="30" t="n">
        <f aca="false">0.606433+1336.855225*L135 - INT(0.606433+1336.855225*L135)</f>
        <v>0.582528972963701</v>
      </c>
      <c r="O135" s="35" t="n">
        <f aca="false">22640*SIN(P135)-4586*SIN(P135-2*R135)+2370*SIN(2*R135)+769*SIN(2*P135)-668*SIN(Q135)-412*SIN(2*S135)-212*SIN(2*P135-2*R135)-206*SIN(P135+Q135-2*R135)+192*SIN(P135+2*R135)-165*SIN(Q135-2*R135)-125*SIN(R135)-110*SIN(P135+Q135)+148*SIN(P135-Q135)-55*SIN(2*S135-2*R135)</f>
        <v>-21538.7523903307</v>
      </c>
      <c r="P135" s="32" t="n">
        <f aca="false">2*PI()*(0.374897+1325.55241*L135 - INT(0.374897+1325.55241*L135))</f>
        <v>5.17242032898795</v>
      </c>
      <c r="Q135" s="36" t="n">
        <f aca="false">2*PI()*(0.993133+99.997361*L135 - INT(0.993133+99.997361*L135))</f>
        <v>2.24106746708008</v>
      </c>
      <c r="R135" s="36" t="n">
        <f aca="false">2*PI()*(0.827361+1236.853086*L135 - INT(0.827361+1236.853086*L135))</f>
        <v>2.7573409968938</v>
      </c>
      <c r="S135" s="36" t="n">
        <f aca="false">2*PI()*(0.259086+1342.227825*L135 - INT(0.259086+1342.227825*L135))</f>
        <v>2.74397663103932</v>
      </c>
      <c r="T135" s="36" t="n">
        <f aca="false">S135+(O135+412*SIN(2*S135)+541*SIN(Q135))/206264.8062</f>
        <v>2.64018299258037</v>
      </c>
      <c r="U135" s="36" t="n">
        <f aca="false">S135-2*R135</f>
        <v>-2.77070536274828</v>
      </c>
      <c r="V135" s="34" t="n">
        <f aca="false">-526*SIN(U135)+44*SIN(P135+U135)-31*SIN(-P135+U135)-23*SIN(Q135+U135)+11*SIN(-Q135+U135)-25*SIN(-2*P135+S135)+21*SIN(-P135+S135)</f>
        <v>283.781977829086</v>
      </c>
      <c r="W135" s="36" t="n">
        <f aca="false">2*PI()*(N135+O135/1296000-INT(N135+O135/1296000))</f>
        <v>3.55571466560331</v>
      </c>
      <c r="X135" s="35" t="n">
        <f aca="false">W135*180/PI()</f>
        <v>203.72744349184</v>
      </c>
      <c r="Y135" s="36" t="n">
        <f aca="false">(18520*SIN(T135)+V135)/206264.8062</f>
        <v>0.0445332641662452</v>
      </c>
      <c r="Z135" s="36" t="n">
        <f aca="false">Y135*180/PI()</f>
        <v>2.55156808466704</v>
      </c>
      <c r="AA135" s="36" t="n">
        <f aca="false">COS(Y135)*COS(W135)</f>
        <v>-0.91456232833373</v>
      </c>
      <c r="AB135" s="36" t="n">
        <f aca="false">COS(Y135)*SIN(W135)</f>
        <v>-0.401987371283766</v>
      </c>
      <c r="AC135" s="36" t="n">
        <f aca="false">SIN(Y135)</f>
        <v>0.0445185458113265</v>
      </c>
      <c r="AD135" s="36" t="n">
        <f aca="false">COS($A$10*(23.4393-46.815*L135/3600))*AB135-SIN($A$10*(23.4393-46.815*L135/3600))*AC135</f>
        <v>-0.386530687075081</v>
      </c>
      <c r="AE135" s="36" t="n">
        <f aca="false">SIN($A$10*(23.4393-46.815*L135/3600))*AB135+COS($A$10*(23.4393-46.815*L135/3600))*AC135</f>
        <v>-0.119036866314824</v>
      </c>
      <c r="AF135" s="36" t="n">
        <f aca="false">SQRT(1-AE135*AE135)</f>
        <v>0.992889835005851</v>
      </c>
      <c r="AG135" s="35" t="n">
        <f aca="false">ATAN(AE135/AF135)/$A$10</f>
        <v>-6.83652066968239</v>
      </c>
      <c r="AH135" s="36" t="n">
        <f aca="false">IF(24*ATAN(AD135/(AA135+AF135))/PI()&gt;0,24*ATAN(AD135/(AA135+AF135))/PI(),24*ATAN(AD135/(AA135+AF135))/PI()+24)</f>
        <v>13.5273911545171</v>
      </c>
      <c r="AI135" s="63" t="n">
        <f aca="false">IF(M135-15*AH135&gt;0,M135-15*AH135,360+M135-15*AH135)</f>
        <v>43.8102819945755</v>
      </c>
      <c r="AJ135" s="32" t="n">
        <f aca="false">0.950724+0.051818*COS(P135)+0.009531*COS(2*R135-P135)+0.007843*COS(2*R135)+0.002824*COS(2*P135)+0.000857*COS(2*R135+P135)+0.000533*COS(2*R135-Q135)*(1-0.002495*(J135-2415020)/36525)+0.000401*COS(2*R135-Q135-P135)*(1-0.002495*(J135-2415020)/36525)+0.00032*COS(P135-Q135)*(1-0.002495*(J135-2415020)/36525)-0.000271*COS(R135)</f>
        <v>0.985659697186841</v>
      </c>
      <c r="AK135" s="36" t="n">
        <f aca="false">ASIN(COS($A$10*$B$5)*COS($A$10*AG135)*COS($A$10*AI135)+SIN($A$10*$B$5)*SIN($A$10*AG135))/$A$10</f>
        <v>21.6769564230995</v>
      </c>
      <c r="AL135" s="32" t="n">
        <f aca="false">ASIN((0.9983271+0.0016764*COS($A$10*2*$B$5))*COS($A$10*AK135)*SIN($A$10*AJ135))/$A$10</f>
        <v>0.914149785128632</v>
      </c>
      <c r="AM135" s="32" t="n">
        <f aca="false">AK135-AL135</f>
        <v>20.7628066379709</v>
      </c>
      <c r="AN135" s="35" t="n">
        <f aca="false"> MOD(280.4664567 + 360007.6982779*L135/10 + 0.03032028*L135^2/100 + L135^3/49931000,360)</f>
        <v>51.726932872647</v>
      </c>
      <c r="AO135" s="32" t="n">
        <f aca="false"> AN135 + (1.9146 - 0.004817*L135 - 0.000014*L135^2)*SIN(Q135)+ (0.019993 - 0.000101*L135)*SIN(2*Q135)+ 0.00029*SIN(3*Q135)</f>
        <v>53.2071508114353</v>
      </c>
      <c r="AP135" s="32" t="n">
        <f aca="false">ACOS(COS(W135-$A$10*AO135)*COS(Y135))/$A$10</f>
        <v>150.419961726496</v>
      </c>
      <c r="AQ135" s="34" t="n">
        <f aca="false">180 - AP135 -0.1468*(1-0.0549*SIN(Q135))*SIN($A$10*AP135)/(1-0.0167*SIN($A$10*AO135))</f>
        <v>29.5097497626567</v>
      </c>
      <c r="AR135" s="64" t="n">
        <f aca="false">SIN($A$10*AI135)</f>
        <v>0.692272685960455</v>
      </c>
      <c r="AS135" s="64" t="n">
        <f aca="false">COS($A$10*AI135)*SIN($A$10*$B$5) - TAN($A$10*AG135)*COS($A$10*$B$5)</f>
        <v>0.629868609944338</v>
      </c>
      <c r="AT135" s="24" t="n">
        <f aca="false">IF(OR(AND(AR135*AS135&gt;0), AND(AR135&lt;0,AS135&gt;0)), MOD(ATAN2(AS135,AR135)/$A$10+360,360),  ATAN2(AS135,AR135)/$A$10)</f>
        <v>47.7023122357624</v>
      </c>
      <c r="AU135" s="39" t="n">
        <f aca="false"> 385000.56 + (-20905355*COS(P135) - 3699111*COS(2*R135-P135) - 2955968*COS(2*R135) - 569925*COS(2*P135) + (1-0.002516*L135)*48888*COS(Q135) - 3149*COS(2*S135)  +246158*COS(2*R135-2*P135) -(1 - 0.002516*L135)*152138*COS(2*R135-Q135-P135) -170733*COS(2*R135+P135) -(1 - 0.002516*L135)*204586*COS(2*R135-Q135) -(1 - 0.002516*L135)*129620*COS(Q135-P135)  + 108743*COS(R135) +(1-0.002516*L135)*104755*COS(Q135+P135) +10321*COS(2*R135-2*S135) +79661*COS(P135-2*S135) -34782*COS(4*R135-P135) -23210*COS(3*P135)  -21636*COS(4*R135-2*P135) +(1 - 0.002516*L135)*24208*COS(2*R135+Q135-P135) +(1 - 0.002516*L135)*30824*COS(2*R135+Q135) -8379*COS(R135-P135) -(1 - 0.002516*L135)*16675*COS(R135+Q135)  -(1 - 0.002516*L135)*12831*COS(2*R135-Q135+P135) -10445*COS(2*R135+2*P135) -11650*COS(4*R135) +14403*COS(2*R135-3*P135) -(1-0.002516*L135)*7003*COS(Q135-2*P135)  + (1 - 0.002516*L135)*10056*COS(2*R135-Q135-2*P135) +6322*COS(R135+P135) -(1 - 0.002516*L135)*(1-0.002516*L135)*9884*COS(2*R135-2*Q135) +(1-0.002516*L135)*5751*COS(Q135+2*P135) - (1-0.002516*L135)^2*4950*COS(2*R135-2*Q135-P135)  +4130*COS(2*R135+P135-2*S135) -(1-0.002516*L135)*3958*COS(4*R135-Q135-P135) +3258*COS(3*R135-P135) +(1 - 0.002516*L135)*2616*COS(2*R135+Q135+P135) -(1 - 0.002516*L135)*1897*COS(4*R135-Q135-2*P135)  -(1-0.002516*L135)^2*2117*COS(2*Q135-P135) +(1-0.002516*L135)^2*2354*COS(2*R135+2*Q135-P135) -1423*COS(4*R135+P135) -1117*COS(4*P135) -(1-0.002516*L135)*1571*COS(4*R135-Q135)  -1739*COS(R135-2*P135) -4421*COS(2*P135-2*S135) +(1-0.002516*L135)^2*1165*COS(2*Q135+P135) +8752*COS(2*R135-P135-2*S135))/1000</f>
        <v>370893.667816589</v>
      </c>
      <c r="AV135" s="54" t="n">
        <f aca="false">ATAN(0.99664719*TAN($A$10*input!$E$2))</f>
        <v>0.871010436227447</v>
      </c>
      <c r="AW135" s="54" t="n">
        <f aca="false">COS(AV135)</f>
        <v>0.644053912545845</v>
      </c>
      <c r="AX135" s="54" t="n">
        <f aca="false">0.99664719*SIN(AV135)</f>
        <v>0.762415269897027</v>
      </c>
      <c r="AY135" s="54" t="n">
        <f aca="false">6378.14/AU135</f>
        <v>0.0171966807563672</v>
      </c>
      <c r="AZ135" s="55" t="n">
        <f aca="false">M135-15*AH135</f>
        <v>43.8102819945755</v>
      </c>
      <c r="BA135" s="56" t="n">
        <f aca="false">COS($A$10*AG135)*SIN($A$10*AZ135)</f>
        <v>0.687350512942334</v>
      </c>
      <c r="BB135" s="56" t="n">
        <f aca="false">COS($A$10*AG135)*COS($A$10*AZ135)-AW135*AY135</f>
        <v>0.705429467552322</v>
      </c>
      <c r="BC135" s="56" t="n">
        <f aca="false">SIN($A$10*AG135)-AX135*AY135</f>
        <v>-0.132147878315023</v>
      </c>
      <c r="BD135" s="57" t="n">
        <f aca="false">SQRT(BA135^2+BB135^2+BC135^2)</f>
        <v>0.993752747456028</v>
      </c>
      <c r="BE135" s="58" t="n">
        <f aca="false">AU135*BD135</f>
        <v>368576.601406779</v>
      </c>
    </row>
    <row r="136" customFormat="false" ht="15" hidden="false" customHeight="false" outlineLevel="0" collapsed="false">
      <c r="D136" s="41" t="n">
        <f aca="false">K136-INT(275*E136/9)+IF($A$8="common year",2,1)*INT((E136+9)/12)+30</f>
        <v>15</v>
      </c>
      <c r="E136" s="41" t="n">
        <f aca="false">IF(K136&lt;32,1,INT(9*(IF($A$8="common year",2,1)+K136)/275+0.98))</f>
        <v>5</v>
      </c>
      <c r="F136" s="42" t="n">
        <f aca="false">AM136</f>
        <v>20.3038808369191</v>
      </c>
      <c r="G136" s="60" t="n">
        <f aca="false">F136+1.02/(TAN($A$10*(F136+10.3/(F136+5.11)))*60)</f>
        <v>20.3488482619337</v>
      </c>
      <c r="H136" s="43" t="n">
        <f aca="false">100*(1+COS($A$10*AQ136))/2</f>
        <v>98.0276507829221</v>
      </c>
      <c r="I136" s="43" t="n">
        <f aca="false">IF(AI136&gt;180,AT136-180,AT136+180)</f>
        <v>213.218212923862</v>
      </c>
      <c r="J136" s="61" t="n">
        <f aca="false">$J$2+K135</f>
        <v>2459714.5</v>
      </c>
      <c r="K136" s="21" t="n">
        <v>135</v>
      </c>
      <c r="L136" s="62" t="n">
        <f aca="false">(J136-2451545)/36525</f>
        <v>0.223668720054757</v>
      </c>
      <c r="M136" s="63" t="n">
        <f aca="false">MOD(280.46061837+360.98564736629*(J136-2451545)+0.000387933*L136^2-L136^3/38710000+$B$7,360)</f>
        <v>247.706796682905</v>
      </c>
      <c r="N136" s="30" t="n">
        <f aca="false">0.606433+1336.855225*L136 - INT(0.606433+1336.855225*L136)</f>
        <v>0.619130074264206</v>
      </c>
      <c r="O136" s="35" t="n">
        <f aca="false">22640*SIN(P136)-4586*SIN(P136-2*R136)+2370*SIN(2*R136)+769*SIN(2*P136)-668*SIN(Q136)-412*SIN(2*S136)-212*SIN(2*P136-2*R136)-206*SIN(P136+Q136-2*R136)+192*SIN(P136+2*R136)-165*SIN(Q136-2*R136)-125*SIN(R136)-110*SIN(P136+Q136)+148*SIN(P136-Q136)-55*SIN(2*S136-2*R136)</f>
        <v>-17454.4037250291</v>
      </c>
      <c r="P136" s="32" t="n">
        <f aca="false">2*PI()*(0.374897+1325.55241*L136 - INT(0.374897+1325.55241*L136))</f>
        <v>5.40044747276377</v>
      </c>
      <c r="Q136" s="36" t="n">
        <f aca="false">2*PI()*(0.993133+99.997361*L136 - INT(0.993133+99.997361*L136))</f>
        <v>2.25826943694707</v>
      </c>
      <c r="R136" s="36" t="n">
        <f aca="false">2*PI()*(0.827361+1236.853086*L136 - INT(0.827361+1236.853086*L136))</f>
        <v>2.97010970701282</v>
      </c>
      <c r="S136" s="36" t="n">
        <f aca="false">2*PI()*(0.259086+1342.227825*L136 - INT(0.259086+1342.227825*L136))</f>
        <v>2.97487235038032</v>
      </c>
      <c r="T136" s="36" t="n">
        <f aca="false">S136+(O136+412*SIN(2*S136)+541*SIN(Q136))/206264.8062</f>
        <v>2.89162433012</v>
      </c>
      <c r="U136" s="36" t="n">
        <f aca="false">S136-2*R136</f>
        <v>-2.96534706364532</v>
      </c>
      <c r="V136" s="34" t="n">
        <f aca="false">-526*SIN(U136)+44*SIN(P136+U136)-31*SIN(-P136+U136)-23*SIN(Q136+U136)+11*SIN(-Q136+U136)-25*SIN(-2*P136+S136)+21*SIN(-P136+S136)</f>
        <v>183.55791170582</v>
      </c>
      <c r="W136" s="36" t="n">
        <f aca="false">2*PI()*(N136+O136/1296000-INT(N136+O136/1296000))</f>
        <v>3.80548764863483</v>
      </c>
      <c r="X136" s="35" t="n">
        <f aca="false">W136*180/PI()</f>
        <v>218.038381255939</v>
      </c>
      <c r="Y136" s="36" t="n">
        <f aca="false">(18520*SIN(T136)+V136)/206264.8062</f>
        <v>0.023100939567696</v>
      </c>
      <c r="Z136" s="36" t="n">
        <f aca="false">Y136*180/PI()</f>
        <v>1.32358634001575</v>
      </c>
      <c r="AA136" s="36" t="n">
        <f aca="false">COS(Y136)*COS(W136)</f>
        <v>-0.787388015086659</v>
      </c>
      <c r="AB136" s="36" t="n">
        <f aca="false">COS(Y136)*SIN(W136)</f>
        <v>-0.61602480080828</v>
      </c>
      <c r="AC136" s="36" t="n">
        <f aca="false">SIN(Y136)</f>
        <v>0.0230988849733273</v>
      </c>
      <c r="AD136" s="36" t="n">
        <f aca="false">COS($A$10*(23.4393-46.815*L136/3600))*AB136-SIN($A$10*(23.4393-46.815*L136/3600))*AC136</f>
        <v>-0.574391241490172</v>
      </c>
      <c r="AE136" s="36" t="n">
        <f aca="false">SIN($A$10*(23.4393-46.815*L136/3600))*AB136+COS($A$10*(23.4393-46.815*L136/3600))*AC136</f>
        <v>-0.223818711007974</v>
      </c>
      <c r="AF136" s="36" t="n">
        <f aca="false">SQRT(1-AE136*AE136)</f>
        <v>0.974630793994695</v>
      </c>
      <c r="AG136" s="35" t="n">
        <f aca="false">ATAN(AE136/AF136)/$A$10</f>
        <v>-12.9334238499544</v>
      </c>
      <c r="AH136" s="36" t="n">
        <f aca="false">IF(24*ATAN(AD136/(AA136+AF136))/PI()&gt;0,24*ATAN(AD136/(AA136+AF136))/PI(),24*ATAN(AD136/(AA136+AF136))/PI()+24)</f>
        <v>14.4073570717797</v>
      </c>
      <c r="AI136" s="63" t="n">
        <f aca="false">IF(M136-15*AH136&gt;0,M136-15*AH136,360+M136-15*AH136)</f>
        <v>31.5964406062101</v>
      </c>
      <c r="AJ136" s="32" t="n">
        <f aca="false">0.950724+0.051818*COS(P136)+0.009531*COS(2*R136-P136)+0.007843*COS(2*R136)+0.002824*COS(2*P136)+0.000857*COS(2*R136+P136)+0.000533*COS(2*R136-Q136)*(1-0.002495*(J136-2415020)/36525)+0.000401*COS(2*R136-Q136-P136)*(1-0.002495*(J136-2415020)/36525)+0.00032*COS(P136-Q136)*(1-0.002495*(J136-2415020)/36525)-0.000271*COS(R136)</f>
        <v>0.998369708975277</v>
      </c>
      <c r="AK136" s="36" t="n">
        <f aca="false">ASIN(COS($A$10*$B$5)*COS($A$10*AG136)*COS($A$10*AI136)+SIN($A$10*$B$5)*SIN($A$10*AG136))/$A$10</f>
        <v>21.2326448016839</v>
      </c>
      <c r="AL136" s="32" t="n">
        <f aca="false">ASIN((0.9983271+0.0016764*COS($A$10*2*$B$5))*COS($A$10*AK136)*SIN($A$10*AJ136))/$A$10</f>
        <v>0.928763964764776</v>
      </c>
      <c r="AM136" s="32" t="n">
        <f aca="false">AK136-AL136</f>
        <v>20.3038808369191</v>
      </c>
      <c r="AN136" s="35" t="n">
        <f aca="false"> MOD(280.4664567 + 360007.6982779*L136/10 + 0.03032028*L136^2/100 + L136^3/49931000,360)</f>
        <v>52.7125802364662</v>
      </c>
      <c r="AO136" s="32" t="n">
        <f aca="false"> AN136 + (1.9146 - 0.004817*L136 - 0.000014*L136^2)*SIN(Q136)+ (0.019993 - 0.000101*L136)*SIN(2*Q136)+ 0.00029*SIN(3*Q136)</f>
        <v>54.1719977436081</v>
      </c>
      <c r="AP136" s="32" t="n">
        <f aca="false">ACOS(COS(W136-$A$10*AO136)*COS(Y136))/$A$10</f>
        <v>163.813619572404</v>
      </c>
      <c r="AQ136" s="34" t="n">
        <f aca="false">180 - AP136 -0.1468*(1-0.0549*SIN(Q136))*SIN($A$10*AP136)/(1-0.0167*SIN($A$10*AO136))</f>
        <v>16.1466565019234</v>
      </c>
      <c r="AR136" s="64" t="n">
        <f aca="false">SIN($A$10*AI136)</f>
        <v>0.523932993006577</v>
      </c>
      <c r="AS136" s="64" t="n">
        <f aca="false">COS($A$10*AI136)*SIN($A$10*$B$5) - TAN($A$10*AG136)*COS($A$10*$B$5)</f>
        <v>0.800098331246856</v>
      </c>
      <c r="AT136" s="24" t="n">
        <f aca="false">IF(OR(AND(AR136*AS136&gt;0), AND(AR136&lt;0,AS136&gt;0)), MOD(ATAN2(AS136,AR136)/$A$10+360,360),  ATAN2(AS136,AR136)/$A$10)</f>
        <v>33.2182129238618</v>
      </c>
      <c r="AU136" s="39" t="n">
        <f aca="false"> 385000.56 + (-20905355*COS(P136) - 3699111*COS(2*R136-P136) - 2955968*COS(2*R136) - 569925*COS(2*P136) + (1-0.002516*L136)*48888*COS(Q136) - 3149*COS(2*S136)  +246158*COS(2*R136-2*P136) -(1 - 0.002516*L136)*152138*COS(2*R136-Q136-P136) -170733*COS(2*R136+P136) -(1 - 0.002516*L136)*204586*COS(2*R136-Q136) -(1 - 0.002516*L136)*129620*COS(Q136-P136)  + 108743*COS(R136) +(1-0.002516*L136)*104755*COS(Q136+P136) +10321*COS(2*R136-2*S136) +79661*COS(P136-2*S136) -34782*COS(4*R136-P136) -23210*COS(3*P136)  -21636*COS(4*R136-2*P136) +(1 - 0.002516*L136)*24208*COS(2*R136+Q136-P136) +(1 - 0.002516*L136)*30824*COS(2*R136+Q136) -8379*COS(R136-P136) -(1 - 0.002516*L136)*16675*COS(R136+Q136)  -(1 - 0.002516*L136)*12831*COS(2*R136-Q136+P136) -10445*COS(2*R136+2*P136) -11650*COS(4*R136) +14403*COS(2*R136-3*P136) -(1-0.002516*L136)*7003*COS(Q136-2*P136)  + (1 - 0.002516*L136)*10056*COS(2*R136-Q136-2*P136) +6322*COS(R136+P136) -(1 - 0.002516*L136)*(1-0.002516*L136)*9884*COS(2*R136-2*Q136) +(1-0.002516*L136)*5751*COS(Q136+2*P136) - (1-0.002516*L136)^2*4950*COS(2*R136-2*Q136-P136)  +4130*COS(2*R136+P136-2*S136) -(1-0.002516*L136)*3958*COS(4*R136-Q136-P136) +3258*COS(3*R136-P136) +(1 - 0.002516*L136)*2616*COS(2*R136+Q136+P136) -(1 - 0.002516*L136)*1897*COS(4*R136-Q136-2*P136)  -(1-0.002516*L136)^2*2117*COS(2*Q136-P136) +(1-0.002516*L136)^2*2354*COS(2*R136+2*Q136-P136) -1423*COS(4*R136+P136) -1117*COS(4*P136) -(1-0.002516*L136)*1571*COS(4*R136-Q136)  -1739*COS(R136-2*P136) -4421*COS(2*P136-2*S136) +(1-0.002516*L136)^2*1165*COS(2*Q136+P136) +8752*COS(2*R136-P136-2*S136))/1000</f>
        <v>366104.241518248</v>
      </c>
      <c r="AV136" s="54" t="n">
        <f aca="false">ATAN(0.99664719*TAN($A$10*input!$E$2))</f>
        <v>0.871010436227447</v>
      </c>
      <c r="AW136" s="54" t="n">
        <f aca="false">COS(AV136)</f>
        <v>0.644053912545845</v>
      </c>
      <c r="AX136" s="54" t="n">
        <f aca="false">0.99664719*SIN(AV136)</f>
        <v>0.762415269897027</v>
      </c>
      <c r="AY136" s="54" t="n">
        <f aca="false">6378.14/AU136</f>
        <v>0.017421650111317</v>
      </c>
      <c r="AZ136" s="55" t="n">
        <f aca="false">M136-15*AH136</f>
        <v>31.5964406062101</v>
      </c>
      <c r="BA136" s="56" t="n">
        <f aca="false">COS($A$10*AG136)*SIN($A$10*AZ136)</f>
        <v>0.510641228974017</v>
      </c>
      <c r="BB136" s="56" t="n">
        <f aca="false">COS($A$10*AG136)*COS($A$10*AZ136)-AW136*AY136</f>
        <v>0.818930540412254</v>
      </c>
      <c r="BC136" s="56" t="n">
        <f aca="false">SIN($A$10*AG136)-AX136*AY136</f>
        <v>-0.237101243079645</v>
      </c>
      <c r="BD136" s="57" t="n">
        <f aca="false">SQRT(BA136^2+BB136^2+BC136^2)</f>
        <v>0.993790065465495</v>
      </c>
      <c r="BE136" s="58" t="n">
        <f aca="false">AU136*BD136</f>
        <v>363830.758145615</v>
      </c>
    </row>
    <row r="137" customFormat="false" ht="15" hidden="false" customHeight="false" outlineLevel="0" collapsed="false">
      <c r="D137" s="41" t="n">
        <f aca="false">K137-INT(275*E137/9)+IF($A$8="common year",2,1)*INT((E137+9)/12)+30</f>
        <v>16</v>
      </c>
      <c r="E137" s="41" t="n">
        <f aca="false">IF(K137&lt;32,1,INT(9*(IF($A$8="common year",2,1)+K137)/275+0.98))</f>
        <v>5</v>
      </c>
      <c r="F137" s="42" t="n">
        <f aca="false">AM137</f>
        <v>18.6843193083696</v>
      </c>
      <c r="G137" s="60" t="n">
        <f aca="false">F137+1.02/(TAN($A$10*(F137+10.3/(F137+5.11)))*60)</f>
        <v>18.7333647693987</v>
      </c>
      <c r="H137" s="43" t="n">
        <f aca="false">100*(1+COS($A$10*AQ137))/2</f>
        <v>99.9542177441431</v>
      </c>
      <c r="I137" s="43" t="n">
        <f aca="false">IF(AI137&gt;180,AT137-180,AT137+180)</f>
        <v>198.557622488204</v>
      </c>
      <c r="J137" s="61" t="n">
        <f aca="false">$J$2+K136</f>
        <v>2459715.5</v>
      </c>
      <c r="K137" s="21" t="n">
        <v>136</v>
      </c>
      <c r="L137" s="62" t="n">
        <f aca="false">(J137-2451545)/36525</f>
        <v>0.223696098562628</v>
      </c>
      <c r="M137" s="63" t="n">
        <f aca="false">MOD(280.46061837+360.98564736629*(J137-2451545)+0.000387933*L137^2-L137^3/38710000+$B$7,360)</f>
        <v>248.692444053944</v>
      </c>
      <c r="N137" s="30" t="n">
        <f aca="false">0.606433+1336.855225*L137 - INT(0.606433+1336.855225*L137)</f>
        <v>0.655731175564654</v>
      </c>
      <c r="O137" s="35" t="n">
        <f aca="false">22640*SIN(P137)-4586*SIN(P137-2*R137)+2370*SIN(2*R137)+769*SIN(2*P137)-668*SIN(Q137)-412*SIN(2*S137)-212*SIN(2*P137-2*R137)-206*SIN(P137+Q137-2*R137)+192*SIN(P137+2*R137)-165*SIN(Q137-2*R137)-125*SIN(R137)-110*SIN(P137+Q137)+148*SIN(P137-Q137)-55*SIN(2*S137-2*R137)</f>
        <v>-12185.7330674175</v>
      </c>
      <c r="P137" s="32" t="n">
        <f aca="false">2*PI()*(0.374897+1325.55241*L137 - INT(0.374897+1325.55241*L137))</f>
        <v>5.62847461653959</v>
      </c>
      <c r="Q137" s="36" t="n">
        <f aca="false">2*PI()*(0.993133+99.997361*L137 - INT(0.993133+99.997361*L137))</f>
        <v>2.27547140681407</v>
      </c>
      <c r="R137" s="36" t="n">
        <f aca="false">2*PI()*(0.827361+1236.853086*L137 - INT(0.827361+1236.853086*L137))</f>
        <v>3.18287841713185</v>
      </c>
      <c r="S137" s="36" t="n">
        <f aca="false">2*PI()*(0.259086+1342.227825*L137 - INT(0.259086+1342.227825*L137))</f>
        <v>3.20576806972097</v>
      </c>
      <c r="T137" s="36" t="n">
        <f aca="false">S137+(O137+412*SIN(2*S137)+541*SIN(Q137))/206264.8062</f>
        <v>3.14894377636504</v>
      </c>
      <c r="U137" s="36" t="n">
        <f aca="false">S137-2*R137</f>
        <v>-3.15998876454273</v>
      </c>
      <c r="V137" s="34" t="n">
        <f aca="false">-526*SIN(U137)+44*SIN(P137+U137)-31*SIN(-P137+U137)-23*SIN(Q137+U137)+11*SIN(-Q137+U137)-25*SIN(-2*P137+S137)+21*SIN(-P137+S137)</f>
        <v>72.9024406456167</v>
      </c>
      <c r="W137" s="36" t="n">
        <f aca="false">2*PI()*(N137+O137/1296000-INT(N137+O137/1296000))</f>
        <v>4.0610023867131</v>
      </c>
      <c r="X137" s="35" t="n">
        <f aca="false">W137*180/PI()</f>
        <v>232.678297351215</v>
      </c>
      <c r="Y137" s="36" t="n">
        <f aca="false">(18520*SIN(T137)+V137)/206264.8062</f>
        <v>-0.000306591939507419</v>
      </c>
      <c r="Z137" s="36" t="n">
        <f aca="false">Y137*180/PI()</f>
        <v>-0.0175664241665054</v>
      </c>
      <c r="AA137" s="36" t="n">
        <f aca="false">COS(Y137)*COS(W137)</f>
        <v>-0.60628963986594</v>
      </c>
      <c r="AB137" s="36" t="n">
        <f aca="false">COS(Y137)*SIN(W137)</f>
        <v>-0.795243848509761</v>
      </c>
      <c r="AC137" s="36" t="n">
        <f aca="false">SIN(Y137)</f>
        <v>-0.000306591934704216</v>
      </c>
      <c r="AD137" s="36" t="n">
        <f aca="false">COS($A$10*(23.4393-46.815*L137/3600))*AB137-SIN($A$10*(23.4393-46.815*L137/3600))*AC137</f>
        <v>-0.729516035416457</v>
      </c>
      <c r="AE137" s="36" t="n">
        <f aca="false">SIN($A$10*(23.4393-46.815*L137/3600))*AB137+COS($A$10*(23.4393-46.815*L137/3600))*AC137</f>
        <v>-0.316574204036723</v>
      </c>
      <c r="AF137" s="36" t="n">
        <f aca="false">SQRT(1-AE137*AE137)</f>
        <v>0.948567748417853</v>
      </c>
      <c r="AG137" s="35" t="n">
        <f aca="false">ATAN(AE137/AF137)/$A$10</f>
        <v>-18.4558732400871</v>
      </c>
      <c r="AH137" s="36" t="n">
        <f aca="false">IF(24*ATAN(AD137/(AA137+AF137))/PI()&gt;0,24*ATAN(AD137/(AA137+AF137))/PI(),24*ATAN(AD137/(AA137+AF137))/PI()+24)</f>
        <v>15.3513697984036</v>
      </c>
      <c r="AI137" s="63" t="n">
        <f aca="false">IF(M137-15*AH137&gt;0,M137-15*AH137,360+M137-15*AH137)</f>
        <v>18.4218970778907</v>
      </c>
      <c r="AJ137" s="32" t="n">
        <f aca="false">0.950724+0.051818*COS(P137)+0.009531*COS(2*R137-P137)+0.007843*COS(2*R137)+0.002824*COS(2*P137)+0.000857*COS(2*R137+P137)+0.000533*COS(2*R137-Q137)*(1-0.002495*(J137-2415020)/36525)+0.000401*COS(2*R137-Q137-P137)*(1-0.002495*(J137-2415020)/36525)+0.00032*COS(P137-Q137)*(1-0.002495*(J137-2415020)/36525)-0.000271*COS(R137)</f>
        <v>1.00781184232153</v>
      </c>
      <c r="AK137" s="36" t="n">
        <f aca="false">ASIN(COS($A$10*$B$5)*COS($A$10*AG137)*COS($A$10*AI137)+SIN($A$10*$B$5)*SIN($A$10*AG137))/$A$10</f>
        <v>19.6316789243035</v>
      </c>
      <c r="AL137" s="32" t="n">
        <f aca="false">ASIN((0.9983271+0.0016764*COS($A$10*2*$B$5))*COS($A$10*AK137)*SIN($A$10*AJ137))/$A$10</f>
        <v>0.947359615933918</v>
      </c>
      <c r="AM137" s="32" t="n">
        <f aca="false">AK137-AL137</f>
        <v>18.6843193083696</v>
      </c>
      <c r="AN137" s="35" t="n">
        <f aca="false"> MOD(280.4664567 + 360007.6982779*L137/10 + 0.03032028*L137^2/100 + L137^3/49931000,360)</f>
        <v>53.6982276002836</v>
      </c>
      <c r="AO137" s="32" t="n">
        <f aca="false"> AN137 + (1.9146 - 0.004817*L137 - 0.000014*L137^2)*SIN(Q137)+ (0.019993 - 0.000101*L137)*SIN(2*Q137)+ 0.00029*SIN(3*Q137)</f>
        <v>55.1364298995183</v>
      </c>
      <c r="AP137" s="32" t="n">
        <f aca="false">ACOS(COS(W137-$A$10*AO137)*COS(Y137))/$A$10</f>
        <v>177.541804724002</v>
      </c>
      <c r="AQ137" s="34" t="n">
        <f aca="false">180 - AP137 -0.1468*(1-0.0549*SIN(Q137))*SIN($A$10*AP137)/(1-0.0167*SIN($A$10*AO137))</f>
        <v>2.45207848067059</v>
      </c>
      <c r="AR137" s="64" t="n">
        <f aca="false">SIN($A$10*AI137)</f>
        <v>0.316011651625628</v>
      </c>
      <c r="AS137" s="64" t="n">
        <f aca="false">COS($A$10*AI137)*SIN($A$10*$B$5) - TAN($A$10*AG137)*COS($A$10*$B$5)</f>
        <v>0.941312129448554</v>
      </c>
      <c r="AT137" s="24" t="n">
        <f aca="false">IF(OR(AND(AR137*AS137&gt;0), AND(AR137&lt;0,AS137&gt;0)), MOD(ATAN2(AS137,AR137)/$A$10+360,360),  ATAN2(AS137,AR137)/$A$10)</f>
        <v>18.5576224882043</v>
      </c>
      <c r="AU137" s="39" t="n">
        <f aca="false"> 385000.56 + (-20905355*COS(P137) - 3699111*COS(2*R137-P137) - 2955968*COS(2*R137) - 569925*COS(2*P137) + (1-0.002516*L137)*48888*COS(Q137) - 3149*COS(2*S137)  +246158*COS(2*R137-2*P137) -(1 - 0.002516*L137)*152138*COS(2*R137-Q137-P137) -170733*COS(2*R137+P137) -(1 - 0.002516*L137)*204586*COS(2*R137-Q137) -(1 - 0.002516*L137)*129620*COS(Q137-P137)  + 108743*COS(R137) +(1-0.002516*L137)*104755*COS(Q137+P137) +10321*COS(2*R137-2*S137) +79661*COS(P137-2*S137) -34782*COS(4*R137-P137) -23210*COS(3*P137)  -21636*COS(4*R137-2*P137) +(1 - 0.002516*L137)*24208*COS(2*R137+Q137-P137) +(1 - 0.002516*L137)*30824*COS(2*R137+Q137) -8379*COS(R137-P137) -(1 - 0.002516*L137)*16675*COS(R137+Q137)  -(1 - 0.002516*L137)*12831*COS(2*R137-Q137+P137) -10445*COS(2*R137+2*P137) -11650*COS(4*R137) +14403*COS(2*R137-3*P137) -(1-0.002516*L137)*7003*COS(Q137-2*P137)  + (1 - 0.002516*L137)*10056*COS(2*R137-Q137-2*P137) +6322*COS(R137+P137) -(1 - 0.002516*L137)*(1-0.002516*L137)*9884*COS(2*R137-2*Q137) +(1-0.002516*L137)*5751*COS(Q137+2*P137) - (1-0.002516*L137)^2*4950*COS(2*R137-2*Q137-P137)  +4130*COS(2*R137+P137-2*S137) -(1-0.002516*L137)*3958*COS(4*R137-Q137-P137) +3258*COS(3*R137-P137) +(1 - 0.002516*L137)*2616*COS(2*R137+Q137+P137) -(1 - 0.002516*L137)*1897*COS(4*R137-Q137-2*P137)  -(1-0.002516*L137)^2*2117*COS(2*Q137-P137) +(1-0.002516*L137)^2*2354*COS(2*R137+2*Q137-P137) -1423*COS(4*R137+P137) -1117*COS(4*P137) -(1-0.002516*L137)*1571*COS(4*R137-Q137)  -1739*COS(R137-2*P137) -4421*COS(2*P137-2*S137) +(1-0.002516*L137)^2*1165*COS(2*Q137+P137) +8752*COS(2*R137-P137-2*S137))/1000</f>
        <v>362591.265601429</v>
      </c>
      <c r="AV137" s="54" t="n">
        <f aca="false">ATAN(0.99664719*TAN($A$10*input!$E$2))</f>
        <v>0.871010436227447</v>
      </c>
      <c r="AW137" s="54" t="n">
        <f aca="false">COS(AV137)</f>
        <v>0.644053912545845</v>
      </c>
      <c r="AX137" s="54" t="n">
        <f aca="false">0.99664719*SIN(AV137)</f>
        <v>0.762415269897027</v>
      </c>
      <c r="AY137" s="54" t="n">
        <f aca="false">6378.14/AU137</f>
        <v>0.0175904402700396</v>
      </c>
      <c r="AZ137" s="55" t="n">
        <f aca="false">M137-15*AH137</f>
        <v>18.4218970778907</v>
      </c>
      <c r="BA137" s="56" t="n">
        <f aca="false">COS($A$10*AG137)*SIN($A$10*AZ137)</f>
        <v>0.299758460856329</v>
      </c>
      <c r="BB137" s="56" t="n">
        <f aca="false">COS($A$10*AG137)*COS($A$10*AZ137)-AW137*AY137</f>
        <v>0.888629495218902</v>
      </c>
      <c r="BC137" s="56" t="n">
        <f aca="false">SIN($A$10*AG137)-AX137*AY137</f>
        <v>-0.329985424302812</v>
      </c>
      <c r="BD137" s="57" t="n">
        <f aca="false">SQRT(BA137^2+BB137^2+BC137^2)</f>
        <v>0.994187052259414</v>
      </c>
      <c r="BE137" s="58" t="n">
        <f aca="false">AU137*BD137</f>
        <v>360483.541523295</v>
      </c>
    </row>
    <row r="138" customFormat="false" ht="15" hidden="false" customHeight="false" outlineLevel="0" collapsed="false">
      <c r="D138" s="41" t="n">
        <f aca="false">K138-INT(275*E138/9)+IF($A$8="common year",2,1)*INT((E138+9)/12)+30</f>
        <v>17</v>
      </c>
      <c r="E138" s="41" t="n">
        <f aca="false">IF(K138&lt;32,1,INT(9*(IF($A$8="common year",2,1)+K138)/275+0.98))</f>
        <v>5</v>
      </c>
      <c r="F138" s="42" t="n">
        <f aca="false">AM138</f>
        <v>16.0154310538349</v>
      </c>
      <c r="G138" s="60" t="n">
        <f aca="false">F138+1.02/(TAN($A$10*(F138+10.3/(F138+5.11)))*60)</f>
        <v>16.0728110773115</v>
      </c>
      <c r="H138" s="43" t="n">
        <f aca="false">100*(1+COS($A$10*AQ138))/2</f>
        <v>98.9974144042551</v>
      </c>
      <c r="I138" s="43" t="n">
        <f aca="false">IF(AI138&gt;180,AT138-180,AT138+180)</f>
        <v>184.021517793711</v>
      </c>
      <c r="J138" s="61" t="n">
        <f aca="false">$J$2+K137</f>
        <v>2459716.5</v>
      </c>
      <c r="K138" s="21" t="n">
        <v>137</v>
      </c>
      <c r="L138" s="62" t="n">
        <f aca="false">(J138-2451545)/36525</f>
        <v>0.2237234770705</v>
      </c>
      <c r="M138" s="63" t="n">
        <f aca="false">MOD(280.46061837+360.98564736629*(J138-2451545)+0.000387933*L138^2-L138^3/38710000+$B$7,360)</f>
        <v>249.678091424983</v>
      </c>
      <c r="N138" s="30" t="n">
        <f aca="false">0.606433+1336.855225*L138 - INT(0.606433+1336.855225*L138)</f>
        <v>0.692332276865159</v>
      </c>
      <c r="O138" s="35" t="n">
        <f aca="false">22640*SIN(P138)-4586*SIN(P138-2*R138)+2370*SIN(2*R138)+769*SIN(2*P138)-668*SIN(Q138)-412*SIN(2*S138)-212*SIN(2*P138-2*R138)-206*SIN(P138+Q138-2*R138)+192*SIN(P138+2*R138)-165*SIN(Q138-2*R138)-125*SIN(R138)-110*SIN(P138+Q138)+148*SIN(P138-Q138)-55*SIN(2*S138-2*R138)</f>
        <v>-6115.93621583502</v>
      </c>
      <c r="P138" s="32" t="n">
        <f aca="false">2*PI()*(0.374897+1325.55241*L138 - INT(0.374897+1325.55241*L138))</f>
        <v>5.85650176031505</v>
      </c>
      <c r="Q138" s="36" t="n">
        <f aca="false">2*PI()*(0.993133+99.997361*L138 - INT(0.993133+99.997361*L138))</f>
        <v>2.29267337668106</v>
      </c>
      <c r="R138" s="36" t="n">
        <f aca="false">2*PI()*(0.827361+1236.853086*L138 - INT(0.827361+1236.853086*L138))</f>
        <v>3.39564712725087</v>
      </c>
      <c r="S138" s="36" t="n">
        <f aca="false">2*PI()*(0.259086+1342.227825*L138 - INT(0.259086+1342.227825*L138))</f>
        <v>3.43666378906197</v>
      </c>
      <c r="T138" s="36" t="n">
        <f aca="false">S138+(O138+412*SIN(2*S138)+541*SIN(Q138))/206264.8062</f>
        <v>3.41009304108608</v>
      </c>
      <c r="U138" s="36" t="n">
        <f aca="false">S138-2*R138</f>
        <v>-3.35463046543977</v>
      </c>
      <c r="V138" s="34" t="n">
        <f aca="false">-526*SIN(U138)+44*SIN(P138+U138)-31*SIN(-P138+U138)-23*SIN(Q138+U138)+11*SIN(-Q138+U138)-25*SIN(-2*P138+S138)+21*SIN(-P138+S138)</f>
        <v>-42.8254092334489</v>
      </c>
      <c r="W138" s="36" t="n">
        <f aca="false">2*PI()*(N138+O138/1296000-INT(N138+O138/1296000))</f>
        <v>4.32040109418305</v>
      </c>
      <c r="X138" s="35" t="n">
        <f aca="false">W138*180/PI()</f>
        <v>247.540748500392</v>
      </c>
      <c r="Y138" s="36" t="n">
        <f aca="false">(18520*SIN(T138)+V138)/206264.8062</f>
        <v>-0.0240269754424055</v>
      </c>
      <c r="Z138" s="36" t="n">
        <f aca="false">Y138*180/PI()</f>
        <v>-1.37664428731431</v>
      </c>
      <c r="AA138" s="36" t="n">
        <f aca="false">COS(Y138)*COS(W138)</f>
        <v>-0.381916010946921</v>
      </c>
      <c r="AB138" s="36" t="n">
        <f aca="false">COS(Y138)*SIN(W138)</f>
        <v>-0.923884720143688</v>
      </c>
      <c r="AC138" s="36" t="n">
        <f aca="false">SIN(Y138)</f>
        <v>-0.0240246637314708</v>
      </c>
      <c r="AD138" s="36" t="n">
        <f aca="false">COS($A$10*(23.4393-46.815*L138/3600))*AB138-SIN($A$10*(23.4393-46.815*L138/3600))*AC138</f>
        <v>-0.838110914230035</v>
      </c>
      <c r="AE138" s="36" t="n">
        <f aca="false">SIN($A$10*(23.4393-46.815*L138/3600))*AB138+COS($A$10*(23.4393-46.815*L138/3600))*AC138</f>
        <v>-0.38950000774183</v>
      </c>
      <c r="AF138" s="36" t="n">
        <f aca="false">SQRT(1-AE138*AE138)</f>
        <v>0.921026462143795</v>
      </c>
      <c r="AG138" s="35" t="n">
        <f aca="false">ATAN(AE138/AF138)/$A$10</f>
        <v>-22.9233920033903</v>
      </c>
      <c r="AH138" s="36" t="n">
        <f aca="false">IF(24*ATAN(AD138/(AA138+AF138))/PI()&gt;0,24*ATAN(AD138/(AA138+AF138))/PI(),24*ATAN(AD138/(AA138+AF138))/PI()+24)</f>
        <v>16.3667917227282</v>
      </c>
      <c r="AI138" s="63" t="n">
        <f aca="false">IF(M138-15*AH138&gt;0,M138-15*AH138,360+M138-15*AH138)</f>
        <v>4.17621558405992</v>
      </c>
      <c r="AJ138" s="32" t="n">
        <f aca="false">0.950724+0.051818*COS(P138)+0.009531*COS(2*R138-P138)+0.007843*COS(2*R138)+0.002824*COS(2*P138)+0.000857*COS(2*R138+P138)+0.000533*COS(2*R138-Q138)*(1-0.002495*(J138-2415020)/36525)+0.000401*COS(2*R138-Q138-P138)*(1-0.002495*(J138-2415020)/36525)+0.00032*COS(P138-Q138)*(1-0.002495*(J138-2415020)/36525)-0.000271*COS(R138)</f>
        <v>1.01306345066292</v>
      </c>
      <c r="AK138" s="36" t="n">
        <f aca="false">ASIN(COS($A$10*$B$5)*COS($A$10*AG138)*COS($A$10*AI138)+SIN($A$10*$B$5)*SIN($A$10*AG138))/$A$10</f>
        <v>16.9824119458795</v>
      </c>
      <c r="AL138" s="32" t="n">
        <f aca="false">ASIN((0.9983271+0.0016764*COS($A$10*2*$B$5))*COS($A$10*AK138)*SIN($A$10*AJ138))/$A$10</f>
        <v>0.966980892044511</v>
      </c>
      <c r="AM138" s="32" t="n">
        <f aca="false">AK138-AL138</f>
        <v>16.0154310538349</v>
      </c>
      <c r="AN138" s="35" t="n">
        <f aca="false"> MOD(280.4664567 + 360007.6982779*L138/10 + 0.03032028*L138^2/100 + L138^3/49931000,360)</f>
        <v>54.6838749641011</v>
      </c>
      <c r="AO138" s="32" t="n">
        <f aca="false"> AN138 + (1.9146 - 0.004817*L138 - 0.000014*L138^2)*SIN(Q138)+ (0.019993 - 0.000101*L138)*SIN(2*Q138)+ 0.00029*SIN(3*Q138)</f>
        <v>56.1004536343934</v>
      </c>
      <c r="AP138" s="32" t="n">
        <f aca="false">ACOS(COS(W138-$A$10*AO138)*COS(Y138))/$A$10</f>
        <v>168.478270858506</v>
      </c>
      <c r="AQ138" s="34" t="n">
        <f aca="false">180 - AP138 -0.1468*(1-0.0549*SIN(Q138))*SIN($A$10*AP138)/(1-0.0167*SIN($A$10*AO138))</f>
        <v>11.4932204442931</v>
      </c>
      <c r="AR138" s="64" t="n">
        <f aca="false">SIN($A$10*AI138)</f>
        <v>0.0728241892649051</v>
      </c>
      <c r="AS138" s="64" t="n">
        <f aca="false">COS($A$10*AI138)*SIN($A$10*$B$5) - TAN($A$10*AG138)*COS($A$10*$B$5)</f>
        <v>1.03584386339796</v>
      </c>
      <c r="AT138" s="24" t="n">
        <f aca="false">IF(OR(AND(AR138*AS138&gt;0), AND(AR138&lt;0,AS138&gt;0)), MOD(ATAN2(AS138,AR138)/$A$10+360,360),  ATAN2(AS138,AR138)/$A$10)</f>
        <v>4.0215177937111</v>
      </c>
      <c r="AU138" s="39" t="n">
        <f aca="false"> 385000.56 + (-20905355*COS(P138) - 3699111*COS(2*R138-P138) - 2955968*COS(2*R138) - 569925*COS(2*P138) + (1-0.002516*L138)*48888*COS(Q138) - 3149*COS(2*S138)  +246158*COS(2*R138-2*P138) -(1 - 0.002516*L138)*152138*COS(2*R138-Q138-P138) -170733*COS(2*R138+P138) -(1 - 0.002516*L138)*204586*COS(2*R138-Q138) -(1 - 0.002516*L138)*129620*COS(Q138-P138)  + 108743*COS(R138) +(1-0.002516*L138)*104755*COS(Q138+P138) +10321*COS(2*R138-2*S138) +79661*COS(P138-2*S138) -34782*COS(4*R138-P138) -23210*COS(3*P138)  -21636*COS(4*R138-2*P138) +(1 - 0.002516*L138)*24208*COS(2*R138+Q138-P138) +(1 - 0.002516*L138)*30824*COS(2*R138+Q138) -8379*COS(R138-P138) -(1 - 0.002516*L138)*16675*COS(R138+Q138)  -(1 - 0.002516*L138)*12831*COS(2*R138-Q138+P138) -10445*COS(2*R138+2*P138) -11650*COS(4*R138) +14403*COS(2*R138-3*P138) -(1-0.002516*L138)*7003*COS(Q138-2*P138)  + (1 - 0.002516*L138)*10056*COS(2*R138-Q138-2*P138) +6322*COS(R138+P138) -(1 - 0.002516*L138)*(1-0.002516*L138)*9884*COS(2*R138-2*Q138) +(1-0.002516*L138)*5751*COS(Q138+2*P138) - (1-0.002516*L138)^2*4950*COS(2*R138-2*Q138-P138)  +4130*COS(2*R138+P138-2*S138) -(1-0.002516*L138)*3958*COS(4*R138-Q138-P138) +3258*COS(3*R138-P138) +(1 - 0.002516*L138)*2616*COS(2*R138+Q138+P138) -(1 - 0.002516*L138)*1897*COS(4*R138-Q138-2*P138)  -(1-0.002516*L138)^2*2117*COS(2*Q138-P138) +(1-0.002516*L138)^2*2354*COS(2*R138+2*Q138-P138) -1423*COS(4*R138+P138) -1117*COS(4*P138) -(1-0.002516*L138)*1571*COS(4*R138-Q138)  -1739*COS(R138-2*P138) -4421*COS(2*P138-2*S138) +(1-0.002516*L138)^2*1165*COS(2*Q138+P138) +8752*COS(2*R138-P138-2*S138))/1000</f>
        <v>360651.785608485</v>
      </c>
      <c r="AV138" s="54" t="n">
        <f aca="false">ATAN(0.99664719*TAN($A$10*input!$E$2))</f>
        <v>0.871010436227447</v>
      </c>
      <c r="AW138" s="54" t="n">
        <f aca="false">COS(AV138)</f>
        <v>0.644053912545845</v>
      </c>
      <c r="AX138" s="54" t="n">
        <f aca="false">0.99664719*SIN(AV138)</f>
        <v>0.762415269897027</v>
      </c>
      <c r="AY138" s="54" t="n">
        <f aca="false">6378.14/AU138</f>
        <v>0.0176850365214161</v>
      </c>
      <c r="AZ138" s="55" t="n">
        <f aca="false">M138-15*AH138</f>
        <v>4.17621558405992</v>
      </c>
      <c r="BA138" s="56" t="n">
        <f aca="false">COS($A$10*AG138)*SIN($A$10*AZ138)</f>
        <v>0.0670730053971456</v>
      </c>
      <c r="BB138" s="56" t="n">
        <f aca="false">COS($A$10*AG138)*COS($A$10*AZ138)-AW138*AY138</f>
        <v>0.907190829885011</v>
      </c>
      <c r="BC138" s="56" t="n">
        <f aca="false">SIN($A$10*AG138)-AX138*AY138</f>
        <v>-0.402983349634444</v>
      </c>
      <c r="BD138" s="57" t="n">
        <f aca="false">SQRT(BA138^2+BB138^2+BC138^2)</f>
        <v>0.994931942377496</v>
      </c>
      <c r="BE138" s="58" t="n">
        <f aca="false">AU138*BD138</f>
        <v>358823.981577362</v>
      </c>
    </row>
    <row r="139" customFormat="false" ht="15" hidden="false" customHeight="false" outlineLevel="0" collapsed="false">
      <c r="D139" s="41" t="n">
        <f aca="false">K139-INT(275*E139/9)+IF($A$8="common year",2,1)*INT((E139+9)/12)+30</f>
        <v>18</v>
      </c>
      <c r="E139" s="41" t="n">
        <f aca="false">IF(K139&lt;32,1,INT(9*(IF($A$8="common year",2,1)+K139)/275+0.98))</f>
        <v>5</v>
      </c>
      <c r="F139" s="42" t="n">
        <f aca="false">AM139</f>
        <v>12.5204899843741</v>
      </c>
      <c r="G139" s="60" t="n">
        <f aca="false">F139+1.02/(TAN($A$10*(F139+10.3/(F139+5.11)))*60)</f>
        <v>12.5935159657006</v>
      </c>
      <c r="H139" s="43" t="n">
        <f aca="false">100*(1+COS($A$10*AQ139))/2</f>
        <v>95.129474441212</v>
      </c>
      <c r="I139" s="43" t="n">
        <f aca="false">IF(AI139&gt;180,AT139-180,AT139+180)</f>
        <v>169.829271234821</v>
      </c>
      <c r="J139" s="61" t="n">
        <f aca="false">$J$2+K138</f>
        <v>2459717.5</v>
      </c>
      <c r="K139" s="21" t="n">
        <v>138</v>
      </c>
      <c r="L139" s="62" t="n">
        <f aca="false">(J139-2451545)/36525</f>
        <v>0.223750855578371</v>
      </c>
      <c r="M139" s="63" t="n">
        <f aca="false">MOD(280.46061837+360.98564736629*(J139-2451545)+0.000387933*L139^2-L139^3/38710000+$B$7,360)</f>
        <v>250.663738796487</v>
      </c>
      <c r="N139" s="30" t="n">
        <f aca="false">0.606433+1336.855225*L139 - INT(0.606433+1336.855225*L139)</f>
        <v>0.728933378165664</v>
      </c>
      <c r="O139" s="35" t="n">
        <f aca="false">22640*SIN(P139)-4586*SIN(P139-2*R139)+2370*SIN(2*R139)+769*SIN(2*P139)-668*SIN(Q139)-412*SIN(2*S139)-212*SIN(2*P139-2*R139)-206*SIN(P139+Q139-2*R139)+192*SIN(P139+2*R139)-165*SIN(Q139-2*R139)-125*SIN(R139)-110*SIN(P139+Q139)+148*SIN(P139-Q139)-55*SIN(2*S139-2*R139)</f>
        <v>290.422515959604</v>
      </c>
      <c r="P139" s="32" t="n">
        <f aca="false">2*PI()*(0.374897+1325.55241*L139 - INT(0.374897+1325.55241*L139))</f>
        <v>6.08452890409087</v>
      </c>
      <c r="Q139" s="36" t="n">
        <f aca="false">2*PI()*(0.993133+99.997361*L139 - INT(0.993133+99.997361*L139))</f>
        <v>2.30987534654804</v>
      </c>
      <c r="R139" s="36" t="n">
        <f aca="false">2*PI()*(0.827361+1236.853086*L139 - INT(0.827361+1236.853086*L139))</f>
        <v>3.6084158373699</v>
      </c>
      <c r="S139" s="36" t="n">
        <f aca="false">2*PI()*(0.259086+1342.227825*L139 - INT(0.259086+1342.227825*L139))</f>
        <v>3.66755950840298</v>
      </c>
      <c r="T139" s="36" t="n">
        <f aca="false">S139+(O139+412*SIN(2*S139)+541*SIN(Q139))/206264.8062</f>
        <v>3.67264056866636</v>
      </c>
      <c r="U139" s="36" t="n">
        <f aca="false">S139-2*R139</f>
        <v>-3.54927216633681</v>
      </c>
      <c r="V139" s="34" t="n">
        <f aca="false">-526*SIN(U139)+44*SIN(P139+U139)-31*SIN(-P139+U139)-23*SIN(Q139+U139)+11*SIN(-Q139+U139)-25*SIN(-2*P139+S139)+21*SIN(-P139+S139)</f>
        <v>-157.613216702763</v>
      </c>
      <c r="W139" s="36" t="n">
        <f aca="false">2*PI()*(N139+O139/1296000-INT(N139+O139/1296000))</f>
        <v>4.58143149969367</v>
      </c>
      <c r="X139" s="35" t="n">
        <f aca="false">W139*180/PI()</f>
        <v>262.496689060739</v>
      </c>
      <c r="Y139" s="36" t="n">
        <f aca="false">(18520*SIN(T139)+V139)/206264.8062</f>
        <v>-0.0462358584519119</v>
      </c>
      <c r="Z139" s="36" t="n">
        <f aca="false">Y139*180/PI()</f>
        <v>-2.64911955145883</v>
      </c>
      <c r="AA139" s="36" t="n">
        <f aca="false">COS(Y139)*COS(W139)</f>
        <v>-0.130443931560293</v>
      </c>
      <c r="AB139" s="36" t="n">
        <f aca="false">COS(Y139)*SIN(W139)</f>
        <v>-0.990377780955207</v>
      </c>
      <c r="AC139" s="36" t="n">
        <f aca="false">SIN(Y139)</f>
        <v>-0.0462193867260685</v>
      </c>
      <c r="AD139" s="36" t="n">
        <f aca="false">COS($A$10*(23.4393-46.815*L139/3600))*AB139-SIN($A$10*(23.4393-46.815*L139/3600))*AC139</f>
        <v>-0.890290923400687</v>
      </c>
      <c r="AE139" s="36" t="n">
        <f aca="false">SIN($A$10*(23.4393-46.815*L139/3600))*AB139+COS($A$10*(23.4393-46.815*L139/3600))*AC139</f>
        <v>-0.436310041632606</v>
      </c>
      <c r="AF139" s="36" t="n">
        <f aca="false">SQRT(1-AE139*AE139)</f>
        <v>0.899796392285807</v>
      </c>
      <c r="AG139" s="35" t="n">
        <f aca="false">ATAN(AE139/AF139)/$A$10</f>
        <v>-25.8686831950494</v>
      </c>
      <c r="AH139" s="36" t="n">
        <f aca="false">IF(24*ATAN(AD139/(AA139+AF139))/PI()&gt;0,24*ATAN(AD139/(AA139+AF139))/PI(),24*ATAN(AD139/(AA139+AF139))/PI()+24)</f>
        <v>17.444295278132</v>
      </c>
      <c r="AI139" s="63" t="n">
        <f aca="false">IF(M139-15*AH139&gt;0,M139-15*AH139,360+M139-15*AH139)</f>
        <v>348.999309624508</v>
      </c>
      <c r="AJ139" s="32" t="n">
        <f aca="false">0.950724+0.051818*COS(P139)+0.009531*COS(2*R139-P139)+0.007843*COS(2*R139)+0.002824*COS(2*P139)+0.000857*COS(2*R139+P139)+0.000533*COS(2*R139-Q139)*(1-0.002495*(J139-2415020)/36525)+0.000401*COS(2*R139-Q139-P139)*(1-0.002495*(J139-2415020)/36525)+0.00032*COS(P139-Q139)*(1-0.002495*(J139-2415020)/36525)-0.000271*COS(R139)</f>
        <v>1.0137158612899</v>
      </c>
      <c r="AK139" s="36" t="n">
        <f aca="false">ASIN(COS($A$10*$B$5)*COS($A$10*AG139)*COS($A$10*AI139)+SIN($A$10*$B$5)*SIN($A$10*AG139))/$A$10</f>
        <v>13.5042403920193</v>
      </c>
      <c r="AL139" s="32" t="n">
        <f aca="false">ASIN((0.9983271+0.0016764*COS($A$10*2*$B$5))*COS($A$10*AK139)*SIN($A$10*AJ139))/$A$10</f>
        <v>0.983750407645234</v>
      </c>
      <c r="AM139" s="32" t="n">
        <f aca="false">AK139-AL139</f>
        <v>12.5204899843741</v>
      </c>
      <c r="AN139" s="35" t="n">
        <f aca="false"> MOD(280.4664567 + 360007.6982779*L139/10 + 0.03032028*L139^2/100 + L139^3/49931000,360)</f>
        <v>55.6695223279203</v>
      </c>
      <c r="AO139" s="32" t="n">
        <f aca="false"> AN139 + (1.9146 - 0.004817*L139 - 0.000014*L139^2)*SIN(Q139)+ (0.019993 - 0.000101*L139)*SIN(2*Q139)+ 0.00029*SIN(3*Q139)</f>
        <v>57.0640754045503</v>
      </c>
      <c r="AP139" s="32" t="n">
        <f aca="false">ACOS(COS(W139-$A$10*AO139)*COS(Y139))/$A$10</f>
        <v>154.43892557257</v>
      </c>
      <c r="AQ139" s="34" t="n">
        <f aca="false">180 - AP139 -0.1468*(1-0.0549*SIN(Q139))*SIN($A$10*AP139)/(1-0.0167*SIN($A$10*AO139))</f>
        <v>25.4994404299795</v>
      </c>
      <c r="AR139" s="64" t="n">
        <f aca="false">SIN($A$10*AI139)</f>
        <v>-0.190820823308061</v>
      </c>
      <c r="AS139" s="64" t="n">
        <f aca="false">COS($A$10*AI139)*SIN($A$10*$B$5) - TAN($A$10*AG139)*COS($A$10*$B$5)</f>
        <v>1.06365512179781</v>
      </c>
      <c r="AT139" s="24" t="n">
        <f aca="false">IF(OR(AND(AR139*AS139&gt;0), AND(AR139&lt;0,AS139&gt;0)), MOD(ATAN2(AS139,AR139)/$A$10+360,360),  ATAN2(AS139,AR139)/$A$10)</f>
        <v>349.829271234821</v>
      </c>
      <c r="AU139" s="39" t="n">
        <f aca="false"> 385000.56 + (-20905355*COS(P139) - 3699111*COS(2*R139-P139) - 2955968*COS(2*R139) - 569925*COS(2*P139) + (1-0.002516*L139)*48888*COS(Q139) - 3149*COS(2*S139)  +246158*COS(2*R139-2*P139) -(1 - 0.002516*L139)*152138*COS(2*R139-Q139-P139) -170733*COS(2*R139+P139) -(1 - 0.002516*L139)*204586*COS(2*R139-Q139) -(1 - 0.002516*L139)*129620*COS(Q139-P139)  + 108743*COS(R139) +(1-0.002516*L139)*104755*COS(Q139+P139) +10321*COS(2*R139-2*S139) +79661*COS(P139-2*S139) -34782*COS(4*R139-P139) -23210*COS(3*P139)  -21636*COS(4*R139-2*P139) +(1 - 0.002516*L139)*24208*COS(2*R139+Q139-P139) +(1 - 0.002516*L139)*30824*COS(2*R139+Q139) -8379*COS(R139-P139) -(1 - 0.002516*L139)*16675*COS(R139+Q139)  -(1 - 0.002516*L139)*12831*COS(2*R139-Q139+P139) -10445*COS(2*R139+2*P139) -11650*COS(4*R139) +14403*COS(2*R139-3*P139) -(1-0.002516*L139)*7003*COS(Q139-2*P139)  + (1 - 0.002516*L139)*10056*COS(2*R139-Q139-2*P139) +6322*COS(R139+P139) -(1 - 0.002516*L139)*(1-0.002516*L139)*9884*COS(2*R139-2*Q139) +(1-0.002516*L139)*5751*COS(Q139+2*P139) - (1-0.002516*L139)^2*4950*COS(2*R139-2*Q139-P139)  +4130*COS(2*R139+P139-2*S139) -(1-0.002516*L139)*3958*COS(4*R139-Q139-P139) +3258*COS(3*R139-P139) +(1 - 0.002516*L139)*2616*COS(2*R139+Q139+P139) -(1 - 0.002516*L139)*1897*COS(4*R139-Q139-2*P139)  -(1-0.002516*L139)^2*2117*COS(2*Q139-P139) +(1-0.002516*L139)^2*2354*COS(2*R139+2*Q139-P139) -1423*COS(4*R139+P139) -1117*COS(4*P139) -(1-0.002516*L139)*1571*COS(4*R139-Q139)  -1739*COS(R139-2*P139) -4421*COS(2*P139-2*S139) +(1-0.002516*L139)^2*1165*COS(2*Q139+P139) +8752*COS(2*R139-P139-2*S139))/1000</f>
        <v>360405.017222139</v>
      </c>
      <c r="AV139" s="54" t="n">
        <f aca="false">ATAN(0.99664719*TAN($A$10*input!$E$2))</f>
        <v>0.871010436227447</v>
      </c>
      <c r="AW139" s="54" t="n">
        <f aca="false">COS(AV139)</f>
        <v>0.644053912545845</v>
      </c>
      <c r="AX139" s="54" t="n">
        <f aca="false">0.99664719*SIN(AV139)</f>
        <v>0.762415269897027</v>
      </c>
      <c r="AY139" s="54" t="n">
        <f aca="false">6378.14/AU139</f>
        <v>0.0176971454203391</v>
      </c>
      <c r="AZ139" s="55" t="n">
        <f aca="false">M139-15*AH139</f>
        <v>-11.0006903754922</v>
      </c>
      <c r="BA139" s="56" t="n">
        <f aca="false">COS($A$10*AG139)*SIN($A$10*AZ139)</f>
        <v>-0.171699888385602</v>
      </c>
      <c r="BB139" s="56" t="n">
        <f aca="false">COS($A$10*AG139)*COS($A$10*AZ139)-AW139*AY139</f>
        <v>0.871864613683314</v>
      </c>
      <c r="BC139" s="56" t="n">
        <f aca="false">SIN($A$10*AG139)-AX139*AY139</f>
        <v>-0.449802615534661</v>
      </c>
      <c r="BD139" s="57" t="n">
        <f aca="false">SQRT(BA139^2+BB139^2+BC139^2)</f>
        <v>0.995967443848746</v>
      </c>
      <c r="BE139" s="58" t="n">
        <f aca="false">AU139*BD139</f>
        <v>358951.663752996</v>
      </c>
    </row>
    <row r="140" customFormat="false" ht="15" hidden="false" customHeight="false" outlineLevel="0" collapsed="false">
      <c r="D140" s="41" t="n">
        <f aca="false">K140-INT(275*E140/9)+IF($A$8="common year",2,1)*INT((E140+9)/12)+30</f>
        <v>19</v>
      </c>
      <c r="E140" s="41" t="n">
        <f aca="false">IF(K140&lt;32,1,INT(9*(IF($A$8="common year",2,1)+K140)/275+0.98))</f>
        <v>5</v>
      </c>
      <c r="F140" s="42" t="n">
        <f aca="false">AM140</f>
        <v>8.48810723194673</v>
      </c>
      <c r="G140" s="60" t="n">
        <f aca="false">F140+1.02/(TAN($A$10*(F140+10.3/(F140+5.11)))*60)</f>
        <v>8.59254209208207</v>
      </c>
      <c r="H140" s="43" t="n">
        <f aca="false">100*(1+COS($A$10*AQ140))/2</f>
        <v>88.6136590390489</v>
      </c>
      <c r="I140" s="43" t="n">
        <f aca="false">IF(AI140&gt;180,AT140-180,AT140+180)</f>
        <v>156.084414202493</v>
      </c>
      <c r="J140" s="61" t="n">
        <f aca="false">$J$2+K139</f>
        <v>2459718.5</v>
      </c>
      <c r="K140" s="21" t="n">
        <v>139</v>
      </c>
      <c r="L140" s="62" t="n">
        <f aca="false">(J140-2451545)/36525</f>
        <v>0.223778234086242</v>
      </c>
      <c r="M140" s="63" t="n">
        <f aca="false">MOD(280.46061837+360.98564736629*(J140-2451545)+0.000387933*L140^2-L140^3/38710000+$B$7,360)</f>
        <v>251.649386167526</v>
      </c>
      <c r="N140" s="30" t="n">
        <f aca="false">0.606433+1336.855225*L140 - INT(0.606433+1336.855225*L140)</f>
        <v>0.765534479466112</v>
      </c>
      <c r="O140" s="35" t="n">
        <f aca="false">22640*SIN(P140)-4586*SIN(P140-2*R140)+2370*SIN(2*R140)+769*SIN(2*P140)-668*SIN(Q140)-412*SIN(2*S140)-212*SIN(2*P140-2*R140)-206*SIN(P140+Q140-2*R140)+192*SIN(P140+2*R140)-165*SIN(Q140-2*R140)-125*SIN(R140)-110*SIN(P140+Q140)+148*SIN(P140-Q140)-55*SIN(2*S140-2*R140)</f>
        <v>6549.30572392989</v>
      </c>
      <c r="P140" s="32" t="n">
        <f aca="false">2*PI()*(0.374897+1325.55241*L140 - INT(0.374897+1325.55241*L140))</f>
        <v>0.0293707406870981</v>
      </c>
      <c r="Q140" s="36" t="n">
        <f aca="false">2*PI()*(0.993133+99.997361*L140 - INT(0.993133+99.997361*L140))</f>
        <v>2.32707731641505</v>
      </c>
      <c r="R140" s="36" t="n">
        <f aca="false">2*PI()*(0.827361+1236.853086*L140 - INT(0.827361+1236.853086*L140))</f>
        <v>3.82118454748892</v>
      </c>
      <c r="S140" s="36" t="n">
        <f aca="false">2*PI()*(0.259086+1342.227825*L140 - INT(0.259086+1342.227825*L140))</f>
        <v>3.89845522774398</v>
      </c>
      <c r="T140" s="36" t="n">
        <f aca="false">S140+(O140+412*SIN(2*S140)+541*SIN(Q140))/206264.8062</f>
        <v>3.93410917540988</v>
      </c>
      <c r="U140" s="36" t="n">
        <f aca="false">S140-2*R140</f>
        <v>-3.74391386723386</v>
      </c>
      <c r="V140" s="34" t="n">
        <f aca="false">-526*SIN(U140)+44*SIN(P140+U140)-31*SIN(-P140+U140)-23*SIN(Q140+U140)+11*SIN(-Q140+U140)-25*SIN(-2*P140+S140)+21*SIN(-P140+S140)</f>
        <v>-265.312557173487</v>
      </c>
      <c r="W140" s="36" t="n">
        <f aca="false">2*PI()*(N140+O140/1296000-INT(N140+O140/1296000))</f>
        <v>4.84174692368815</v>
      </c>
      <c r="X140" s="35" t="n">
        <f aca="false">W140*180/PI()</f>
        <v>277.411664197781</v>
      </c>
      <c r="Y140" s="36" t="n">
        <f aca="false">(18520*SIN(T140)+V140)/206264.8062</f>
        <v>-0.0652259448536923</v>
      </c>
      <c r="Z140" s="36" t="n">
        <f aca="false">Y140*180/PI()</f>
        <v>-3.73717135486962</v>
      </c>
      <c r="AA140" s="36" t="n">
        <f aca="false">COS(Y140)*COS(W140)</f>
        <v>0.128723169288606</v>
      </c>
      <c r="AB140" s="36" t="n">
        <f aca="false">COS(Y140)*SIN(W140)</f>
        <v>-0.989536230644941</v>
      </c>
      <c r="AC140" s="36" t="n">
        <f aca="false">SIN(Y140)</f>
        <v>-0.0651797048880899</v>
      </c>
      <c r="AD140" s="36" t="n">
        <f aca="false">COS($A$10*(23.4393-46.815*L140/3600))*AB140-SIN($A$10*(23.4393-46.815*L140/3600))*AC140</f>
        <v>-0.881977701255022</v>
      </c>
      <c r="AE140" s="36" t="n">
        <f aca="false">SIN($A$10*(23.4393-46.815*L140/3600))*AB140+COS($A$10*(23.4393-46.815*L140/3600))*AC140</f>
        <v>-0.453371459376529</v>
      </c>
      <c r="AF140" s="36" t="n">
        <f aca="false">SQRT(1-AE140*AE140)</f>
        <v>0.891321670230673</v>
      </c>
      <c r="AG140" s="35" t="n">
        <f aca="false">ATAN(AE140/AF140)/$A$10</f>
        <v>-26.9601999240835</v>
      </c>
      <c r="AH140" s="36" t="n">
        <f aca="false">IF(24*ATAN(AD140/(AA140+AF140))/PI()&gt;0,24*ATAN(AD140/(AA140+AF140))/PI(),24*ATAN(AD140/(AA140+AF140))/PI()+24)</f>
        <v>18.5535730845577</v>
      </c>
      <c r="AI140" s="63" t="n">
        <f aca="false">IF(M140-15*AH140&gt;0,M140-15*AH140,360+M140-15*AH140)</f>
        <v>333.345789899161</v>
      </c>
      <c r="AJ140" s="32" t="n">
        <f aca="false">0.950724+0.051818*COS(P140)+0.009531*COS(2*R140-P140)+0.007843*COS(2*R140)+0.002824*COS(2*P140)+0.000857*COS(2*R140+P140)+0.000533*COS(2*R140-Q140)*(1-0.002495*(J140-2415020)/36525)+0.000401*COS(2*R140-Q140-P140)*(1-0.002495*(J140-2415020)/36525)+0.00032*COS(P140-Q140)*(1-0.002495*(J140-2415020)/36525)-0.000271*COS(R140)</f>
        <v>1.0099330696745</v>
      </c>
      <c r="AK140" s="36" t="n">
        <f aca="false">ASIN(COS($A$10*$B$5)*COS($A$10*AG140)*COS($A$10*AI140)+SIN($A$10*$B$5)*SIN($A$10*AG140))/$A$10</f>
        <v>9.48228316714008</v>
      </c>
      <c r="AL140" s="32" t="n">
        <f aca="false">ASIN((0.9983271+0.0016764*COS($A$10*2*$B$5))*COS($A$10*AK140)*SIN($A$10*AJ140))/$A$10</f>
        <v>0.99417593519335</v>
      </c>
      <c r="AM140" s="32" t="n">
        <f aca="false">AK140-AL140</f>
        <v>8.48810723194673</v>
      </c>
      <c r="AN140" s="35" t="n">
        <f aca="false"> MOD(280.4664567 + 360007.6982779*L140/10 + 0.03032028*L140^2/100 + L140^3/49931000,360)</f>
        <v>56.6551696917395</v>
      </c>
      <c r="AO140" s="32" t="n">
        <f aca="false"> AN140 + (1.9146 - 0.004817*L140 - 0.000014*L140^2)*SIN(Q140)+ (0.019993 - 0.000101*L140)*SIN(2*Q140)+ 0.00029*SIN(3*Q140)</f>
        <v>58.0273017654572</v>
      </c>
      <c r="AP140" s="32" t="n">
        <f aca="false">ACOS(COS(W140-$A$10*AO140)*COS(Y140))/$A$10</f>
        <v>140.467461364072</v>
      </c>
      <c r="AQ140" s="34" t="n">
        <f aca="false">180 - AP140 -0.1468*(1-0.0549*SIN(Q140))*SIN($A$10*AP140)/(1-0.0167*SIN($A$10*AO140))</f>
        <v>39.4415403465918</v>
      </c>
      <c r="AR140" s="64" t="n">
        <f aca="false">SIN($A$10*AI140)</f>
        <v>-0.448604886632481</v>
      </c>
      <c r="AS140" s="64" t="n">
        <f aca="false">COS($A$10*AI140)*SIN($A$10*$B$5) - TAN($A$10*AG140)*COS($A$10*$B$5)</f>
        <v>1.01159146363362</v>
      </c>
      <c r="AT140" s="24" t="n">
        <f aca="false">IF(OR(AND(AR140*AS140&gt;0), AND(AR140&lt;0,AS140&gt;0)), MOD(ATAN2(AS140,AR140)/$A$10+360,360),  ATAN2(AS140,AR140)/$A$10)</f>
        <v>336.084414202493</v>
      </c>
      <c r="AU140" s="39" t="n">
        <f aca="false"> 385000.56 + (-20905355*COS(P140) - 3699111*COS(2*R140-P140) - 2955968*COS(2*R140) - 569925*COS(2*P140) + (1-0.002516*L140)*48888*COS(Q140) - 3149*COS(2*S140)  +246158*COS(2*R140-2*P140) -(1 - 0.002516*L140)*152138*COS(2*R140-Q140-P140) -170733*COS(2*R140+P140) -(1 - 0.002516*L140)*204586*COS(2*R140-Q140) -(1 - 0.002516*L140)*129620*COS(Q140-P140)  + 108743*COS(R140) +(1-0.002516*L140)*104755*COS(Q140+P140) +10321*COS(2*R140-2*S140) +79661*COS(P140-2*S140) -34782*COS(4*R140-P140) -23210*COS(3*P140)  -21636*COS(4*R140-2*P140) +(1 - 0.002516*L140)*24208*COS(2*R140+Q140-P140) +(1 - 0.002516*L140)*30824*COS(2*R140+Q140) -8379*COS(R140-P140) -(1 - 0.002516*L140)*16675*COS(R140+Q140)  -(1 - 0.002516*L140)*12831*COS(2*R140-Q140+P140) -10445*COS(2*R140+2*P140) -11650*COS(4*R140) +14403*COS(2*R140-3*P140) -(1-0.002516*L140)*7003*COS(Q140-2*P140)  + (1 - 0.002516*L140)*10056*COS(2*R140-Q140-2*P140) +6322*COS(R140+P140) -(1 - 0.002516*L140)*(1-0.002516*L140)*9884*COS(2*R140-2*Q140) +(1-0.002516*L140)*5751*COS(Q140+2*P140) - (1-0.002516*L140)^2*4950*COS(2*R140-2*Q140-P140)  +4130*COS(2*R140+P140-2*S140) -(1-0.002516*L140)*3958*COS(4*R140-Q140-P140) +3258*COS(3*R140-P140) +(1 - 0.002516*L140)*2616*COS(2*R140+Q140+P140) -(1 - 0.002516*L140)*1897*COS(4*R140-Q140-2*P140)  -(1-0.002516*L140)^2*2117*COS(2*Q140-P140) +(1-0.002516*L140)^2*2354*COS(2*R140+2*Q140-P140) -1423*COS(4*R140+P140) -1117*COS(4*P140) -(1-0.002516*L140)*1571*COS(4*R140-Q140)  -1739*COS(R140-2*P140) -4421*COS(2*P140-2*S140) +(1-0.002516*L140)^2*1165*COS(2*Q140+P140) +8752*COS(2*R140-P140-2*S140))/1000</f>
        <v>361778.355747465</v>
      </c>
      <c r="AV140" s="54" t="n">
        <f aca="false">ATAN(0.99664719*TAN($A$10*input!$E$2))</f>
        <v>0.871010436227447</v>
      </c>
      <c r="AW140" s="54" t="n">
        <f aca="false">COS(AV140)</f>
        <v>0.644053912545845</v>
      </c>
      <c r="AX140" s="54" t="n">
        <f aca="false">0.99664719*SIN(AV140)</f>
        <v>0.762415269897027</v>
      </c>
      <c r="AY140" s="54" t="n">
        <f aca="false">6378.14/AU140</f>
        <v>0.017629965692177</v>
      </c>
      <c r="AZ140" s="55" t="n">
        <f aca="false">M140-15*AH140</f>
        <v>-26.6542101008391</v>
      </c>
      <c r="BA140" s="56" t="n">
        <f aca="false">COS($A$10*AG140)*SIN($A$10*AZ140)</f>
        <v>-0.399851256826906</v>
      </c>
      <c r="BB140" s="56" t="n">
        <f aca="false">COS($A$10*AG140)*COS($A$10*AZ140)-AW140*AY140</f>
        <v>0.785246438886018</v>
      </c>
      <c r="BC140" s="56" t="n">
        <f aca="false">SIN($A$10*AG140)-AX140*AY140</f>
        <v>-0.466812814428005</v>
      </c>
      <c r="BD140" s="57" t="n">
        <f aca="false">SQRT(BA140^2+BB140^2+BC140^2)</f>
        <v>0.997199679644666</v>
      </c>
      <c r="BE140" s="58" t="n">
        <f aca="false">AU140*BD140</f>
        <v>360765.260453746</v>
      </c>
    </row>
    <row r="141" customFormat="false" ht="15" hidden="false" customHeight="false" outlineLevel="0" collapsed="false">
      <c r="D141" s="41" t="n">
        <f aca="false">K141-INT(275*E141/9)+IF($A$8="common year",2,1)*INT((E141+9)/12)+30</f>
        <v>20</v>
      </c>
      <c r="E141" s="41" t="n">
        <f aca="false">IF(K141&lt;32,1,INT(9*(IF($A$8="common year",2,1)+K141)/275+0.98))</f>
        <v>5</v>
      </c>
      <c r="F141" s="42" t="n">
        <f aca="false">AM141</f>
        <v>4.21749660632635</v>
      </c>
      <c r="G141" s="60" t="n">
        <f aca="false">F141+1.02/(TAN($A$10*(F141+10.3/(F141+5.11)))*60)</f>
        <v>4.399997485786</v>
      </c>
      <c r="H141" s="43" t="n">
        <f aca="false">100*(1+COS($A$10*AQ141))/2</f>
        <v>79.9550771311392</v>
      </c>
      <c r="I141" s="43" t="n">
        <f aca="false">IF(AI141&gt;180,AT141-180,AT141+180)</f>
        <v>142.787963099657</v>
      </c>
      <c r="J141" s="61" t="n">
        <f aca="false">$J$2+K140</f>
        <v>2459719.5</v>
      </c>
      <c r="K141" s="21" t="n">
        <v>140</v>
      </c>
      <c r="L141" s="62" t="n">
        <f aca="false">(J141-2451545)/36525</f>
        <v>0.223805612594114</v>
      </c>
      <c r="M141" s="63" t="n">
        <f aca="false">MOD(280.46061837+360.98564736629*(J141-2451545)+0.000387933*L141^2-L141^3/38710000+$B$7,360)</f>
        <v>252.635033538099</v>
      </c>
      <c r="N141" s="30" t="n">
        <f aca="false">0.606433+1336.855225*L141 - INT(0.606433+1336.855225*L141)</f>
        <v>0.802135580766617</v>
      </c>
      <c r="O141" s="35" t="n">
        <f aca="false">22640*SIN(P141)-4586*SIN(P141-2*R141)+2370*SIN(2*R141)+769*SIN(2*P141)-668*SIN(Q141)-412*SIN(2*S141)-212*SIN(2*P141-2*R141)-206*SIN(P141+Q141-2*R141)+192*SIN(P141+2*R141)-165*SIN(Q141-2*R141)-125*SIN(R141)-110*SIN(P141+Q141)+148*SIN(P141-Q141)-55*SIN(2*S141-2*R141)</f>
        <v>12220.3501540724</v>
      </c>
      <c r="P141" s="32" t="n">
        <f aca="false">2*PI()*(0.374897+1325.55241*L141 - INT(0.374897+1325.55241*L141))</f>
        <v>0.257397884462916</v>
      </c>
      <c r="Q141" s="36" t="n">
        <f aca="false">2*PI()*(0.993133+99.997361*L141 - INT(0.993133+99.997361*L141))</f>
        <v>2.34427928628203</v>
      </c>
      <c r="R141" s="36" t="n">
        <f aca="false">2*PI()*(0.827361+1236.853086*L141 - INT(0.827361+1236.853086*L141))</f>
        <v>4.03395325760759</v>
      </c>
      <c r="S141" s="36" t="n">
        <f aca="false">2*PI()*(0.259086+1342.227825*L141 - INT(0.259086+1342.227825*L141))</f>
        <v>4.12935094708499</v>
      </c>
      <c r="T141" s="36" t="n">
        <f aca="false">S141+(O141+412*SIN(2*S141)+541*SIN(Q141))/206264.8062</f>
        <v>4.19230953698003</v>
      </c>
      <c r="U141" s="36" t="n">
        <f aca="false">S141-2*R141</f>
        <v>-3.93855556813019</v>
      </c>
      <c r="V141" s="34" t="n">
        <f aca="false">-526*SIN(U141)+44*SIN(P141+U141)-31*SIN(-P141+U141)-23*SIN(Q141+U141)+11*SIN(-Q141+U141)-25*SIN(-2*P141+S141)+21*SIN(-P141+S141)</f>
        <v>-360.190379978396</v>
      </c>
      <c r="W141" s="36" t="n">
        <f aca="false">2*PI()*(N141+O141/1296000-INT(N141+O141/1296000))</f>
        <v>5.0992124248652</v>
      </c>
      <c r="X141" s="35" t="n">
        <f aca="false">W141*180/PI()</f>
        <v>292.163350785447</v>
      </c>
      <c r="Y141" s="36" t="n">
        <f aca="false">(18520*SIN(T141)+V141)/206264.8062</f>
        <v>-0.0796620169184859</v>
      </c>
      <c r="Z141" s="36" t="n">
        <f aca="false">Y141*180/PI()</f>
        <v>-4.564297356929</v>
      </c>
      <c r="AA141" s="36" t="n">
        <f aca="false">COS(Y141)*COS(W141)</f>
        <v>0.376052093447078</v>
      </c>
      <c r="AB141" s="36" t="n">
        <f aca="false">COS(Y141)*SIN(W141)</f>
        <v>-0.923175063995284</v>
      </c>
      <c r="AC141" s="36" t="n">
        <f aca="false">SIN(Y141)</f>
        <v>-0.0795777872988021</v>
      </c>
      <c r="AD141" s="36" t="n">
        <f aca="false">COS($A$10*(23.4393-46.815*L141/3600))*AB141-SIN($A$10*(23.4393-46.815*L141/3600))*AC141</f>
        <v>-0.81536462806465</v>
      </c>
      <c r="AE141" s="36" t="n">
        <f aca="false">SIN($A$10*(23.4393-46.815*L141/3600))*AB141+COS($A$10*(23.4393-46.815*L141/3600))*AC141</f>
        <v>-0.440187853438808</v>
      </c>
      <c r="AF141" s="36" t="n">
        <f aca="false">SQRT(1-AE141*AE141)</f>
        <v>0.897905704227863</v>
      </c>
      <c r="AG141" s="35" t="n">
        <f aca="false">ATAN(AE141/AF141)/$A$10</f>
        <v>-26.1158675378441</v>
      </c>
      <c r="AH141" s="36" t="n">
        <f aca="false">IF(24*ATAN(AD141/(AA141+AF141))/PI()&gt;0,24*ATAN(AD141/(AA141+AF141))/PI(),24*ATAN(AD141/(AA141+AF141))/PI()+24)</f>
        <v>19.6506330018625</v>
      </c>
      <c r="AI141" s="63" t="n">
        <f aca="false">IF(M141-15*AH141&gt;0,M141-15*AH141,360+M141-15*AH141)</f>
        <v>317.875538510162</v>
      </c>
      <c r="AJ141" s="32" t="n">
        <f aca="false">0.950724+0.051818*COS(P141)+0.009531*COS(2*R141-P141)+0.007843*COS(2*R141)+0.002824*COS(2*P141)+0.000857*COS(2*R141+P141)+0.000533*COS(2*R141-Q141)*(1-0.002495*(J141-2415020)/36525)+0.000401*COS(2*R141-Q141-P141)*(1-0.002495*(J141-2415020)/36525)+0.00032*COS(P141-Q141)*(1-0.002495*(J141-2415020)/36525)-0.000271*COS(R141)</f>
        <v>1.00238951136858</v>
      </c>
      <c r="AK141" s="36" t="n">
        <f aca="false">ASIN(COS($A$10*$B$5)*COS($A$10*AG141)*COS($A$10*AI141)+SIN($A$10*$B$5)*SIN($A$10*AG141))/$A$10</f>
        <v>5.21377763809376</v>
      </c>
      <c r="AL141" s="32" t="n">
        <f aca="false">ASIN((0.9983271+0.0016764*COS($A$10*2*$B$5))*COS($A$10*AK141)*SIN($A$10*AJ141))/$A$10</f>
        <v>0.996281031767417</v>
      </c>
      <c r="AM141" s="32" t="n">
        <f aca="false">AK141-AL141</f>
        <v>4.21749660632635</v>
      </c>
      <c r="AN141" s="35" t="n">
        <f aca="false"> MOD(280.4664567 + 360007.6982779*L141/10 + 0.03032028*L141^2/100 + L141^3/49931000,360)</f>
        <v>57.6408170555569</v>
      </c>
      <c r="AO141" s="32" t="n">
        <f aca="false"> AN141 + (1.9146 - 0.004817*L141 - 0.000014*L141^2)*SIN(Q141)+ (0.019993 - 0.000101*L141)*SIN(2*Q141)+ 0.00029*SIN(3*Q141)</f>
        <v>58.9901393697947</v>
      </c>
      <c r="AP141" s="32" t="n">
        <f aca="false">ACOS(COS(W141-$A$10*AO141)*COS(Y141))/$A$10</f>
        <v>126.69084438526</v>
      </c>
      <c r="AQ141" s="34" t="n">
        <f aca="false">180 - AP141 -0.1468*(1-0.0549*SIN(Q141))*SIN($A$10*AP141)/(1-0.0167*SIN($A$10*AO141))</f>
        <v>53.1944225602185</v>
      </c>
      <c r="AR141" s="64" t="n">
        <f aca="false">SIN($A$10*AI141)</f>
        <v>-0.670743332219713</v>
      </c>
      <c r="AS141" s="64" t="n">
        <f aca="false">COS($A$10*AI141)*SIN($A$10*$B$5) - TAN($A$10*AG141)*COS($A$10*$B$5)</f>
        <v>0.883286322673627</v>
      </c>
      <c r="AT141" s="24" t="n">
        <f aca="false">IF(OR(AND(AR141*AS141&gt;0), AND(AR141&lt;0,AS141&gt;0)), MOD(ATAN2(AS141,AR141)/$A$10+360,360),  ATAN2(AS141,AR141)/$A$10)</f>
        <v>322.787963099657</v>
      </c>
      <c r="AU141" s="39" t="n">
        <f aca="false"> 385000.56 + (-20905355*COS(P141) - 3699111*COS(2*R141-P141) - 2955968*COS(2*R141) - 569925*COS(2*P141) + (1-0.002516*L141)*48888*COS(Q141) - 3149*COS(2*S141)  +246158*COS(2*R141-2*P141) -(1 - 0.002516*L141)*152138*COS(2*R141-Q141-P141) -170733*COS(2*R141+P141) -(1 - 0.002516*L141)*204586*COS(2*R141-Q141) -(1 - 0.002516*L141)*129620*COS(Q141-P141)  + 108743*COS(R141) +(1-0.002516*L141)*104755*COS(Q141+P141) +10321*COS(2*R141-2*S141) +79661*COS(P141-2*S141) -34782*COS(4*R141-P141) -23210*COS(3*P141)  -21636*COS(4*R141-2*P141) +(1 - 0.002516*L141)*24208*COS(2*R141+Q141-P141) +(1 - 0.002516*L141)*30824*COS(2*R141+Q141) -8379*COS(R141-P141) -(1 - 0.002516*L141)*16675*COS(R141+Q141)  -(1 - 0.002516*L141)*12831*COS(2*R141-Q141+P141) -10445*COS(2*R141+2*P141) -11650*COS(4*R141) +14403*COS(2*R141-3*P141) -(1-0.002516*L141)*7003*COS(Q141-2*P141)  + (1 - 0.002516*L141)*10056*COS(2*R141-Q141-2*P141) +6322*COS(R141+P141) -(1 - 0.002516*L141)*(1-0.002516*L141)*9884*COS(2*R141-2*Q141) +(1-0.002516*L141)*5751*COS(Q141+2*P141) - (1-0.002516*L141)^2*4950*COS(2*R141-2*Q141-P141)  +4130*COS(2*R141+P141-2*S141) -(1-0.002516*L141)*3958*COS(4*R141-Q141-P141) +3258*COS(3*R141-P141) +(1 - 0.002516*L141)*2616*COS(2*R141+Q141+P141) -(1 - 0.002516*L141)*1897*COS(4*R141-Q141-2*P141)  -(1-0.002516*L141)^2*2117*COS(2*Q141-P141) +(1-0.002516*L141)^2*2354*COS(2*R141+2*Q141-P141) -1423*COS(4*R141+P141) -1117*COS(4*P141) -(1-0.002516*L141)*1571*COS(4*R141-Q141)  -1739*COS(R141-2*P141) -4421*COS(2*P141-2*S141) +(1-0.002516*L141)^2*1165*COS(2*Q141+P141) +8752*COS(2*R141-P141-2*S141))/1000</f>
        <v>364533.761395758</v>
      </c>
      <c r="AV141" s="54" t="n">
        <f aca="false">ATAN(0.99664719*TAN($A$10*input!$E$2))</f>
        <v>0.871010436227447</v>
      </c>
      <c r="AW141" s="54" t="n">
        <f aca="false">COS(AV141)</f>
        <v>0.644053912545845</v>
      </c>
      <c r="AX141" s="54" t="n">
        <f aca="false">0.99664719*SIN(AV141)</f>
        <v>0.762415269897027</v>
      </c>
      <c r="AY141" s="54" t="n">
        <f aca="false">6378.14/AU141</f>
        <v>0.0174967058622467</v>
      </c>
      <c r="AZ141" s="55" t="n">
        <f aca="false">M141-15*AH141</f>
        <v>-42.1244614898385</v>
      </c>
      <c r="BA141" s="56" t="n">
        <f aca="false">COS($A$10*AG141)*SIN($A$10*AZ141)</f>
        <v>-0.602264264072886</v>
      </c>
      <c r="BB141" s="56" t="n">
        <f aca="false">COS($A$10*AG141)*COS($A$10*AZ141)-AW141*AY141</f>
        <v>0.654698452032668</v>
      </c>
      <c r="BC141" s="56" t="n">
        <f aca="false">SIN($A$10*AG141)-AX141*AY141</f>
        <v>-0.453527609161082</v>
      </c>
      <c r="BD141" s="57" t="n">
        <f aca="false">SQRT(BA141^2+BB141^2+BC141^2)</f>
        <v>0.998518702451082</v>
      </c>
      <c r="BE141" s="58" t="n">
        <f aca="false">AU141*BD141</f>
        <v>363993.778428505</v>
      </c>
    </row>
    <row r="142" customFormat="false" ht="15" hidden="false" customHeight="false" outlineLevel="0" collapsed="false">
      <c r="D142" s="41" t="n">
        <f aca="false">K142-INT(275*E142/9)+IF($A$8="common year",2,1)*INT((E142+9)/12)+30</f>
        <v>21</v>
      </c>
      <c r="E142" s="41" t="n">
        <f aca="false">IF(K142&lt;32,1,INT(9*(IF($A$8="common year",2,1)+K142)/275+0.98))</f>
        <v>5</v>
      </c>
      <c r="F142" s="42" t="n">
        <f aca="false">AM142</f>
        <v>-0.0234483631667991</v>
      </c>
      <c r="G142" s="60" t="n">
        <f aca="false">F142+1.02/(TAN($A$10*(F142+10.3/(F142+5.11)))*60)</f>
        <v>0.463003018343463</v>
      </c>
      <c r="H142" s="43" t="n">
        <f aca="false">100*(1+COS($A$10*AQ142))/2</f>
        <v>69.8026529826636</v>
      </c>
      <c r="I142" s="43" t="n">
        <f aca="false">IF(AI142&gt;180,AT142-180,AT142+180)</f>
        <v>129.875584279913</v>
      </c>
      <c r="J142" s="61" t="n">
        <f aca="false">$J$2+K141</f>
        <v>2459720.5</v>
      </c>
      <c r="K142" s="21" t="n">
        <v>141</v>
      </c>
      <c r="L142" s="62" t="n">
        <f aca="false">(J142-2451545)/36525</f>
        <v>0.223832991101985</v>
      </c>
      <c r="M142" s="63" t="n">
        <f aca="false">MOD(280.46061837+360.98564736629*(J142-2451545)+0.000387933*L142^2-L142^3/38710000+$B$7,360)</f>
        <v>253.620680909138</v>
      </c>
      <c r="N142" s="30" t="n">
        <f aca="false">0.606433+1336.855225*L142 - INT(0.606433+1336.855225*L142)</f>
        <v>0.838736682067065</v>
      </c>
      <c r="O142" s="35" t="n">
        <f aca="false">22640*SIN(P142)-4586*SIN(P142-2*R142)+2370*SIN(2*R142)+769*SIN(2*P142)-668*SIN(Q142)-412*SIN(2*S142)-212*SIN(2*P142-2*R142)-206*SIN(P142+Q142-2*R142)+192*SIN(P142+2*R142)-165*SIN(Q142-2*R142)-125*SIN(R142)-110*SIN(P142+Q142)+148*SIN(P142-Q142)-55*SIN(2*S142-2*R142)</f>
        <v>16957.1446405839</v>
      </c>
      <c r="P142" s="32" t="n">
        <f aca="false">2*PI()*(0.374897+1325.55241*L142 - INT(0.374897+1325.55241*L142))</f>
        <v>0.485425028238376</v>
      </c>
      <c r="Q142" s="36" t="n">
        <f aca="false">2*PI()*(0.993133+99.997361*L142 - INT(0.993133+99.997361*L142))</f>
        <v>2.36148125614902</v>
      </c>
      <c r="R142" s="36" t="n">
        <f aca="false">2*PI()*(0.827361+1236.853086*L142 - INT(0.827361+1236.853086*L142))</f>
        <v>4.24672196772661</v>
      </c>
      <c r="S142" s="36" t="n">
        <f aca="false">2*PI()*(0.259086+1342.227825*L142 - INT(0.259086+1342.227825*L142))</f>
        <v>4.36024666642563</v>
      </c>
      <c r="T142" s="36" t="n">
        <f aca="false">S142+(O142+412*SIN(2*S142)+541*SIN(Q142))/206264.8062</f>
        <v>4.44559533724083</v>
      </c>
      <c r="U142" s="36" t="n">
        <f aca="false">S142-2*R142</f>
        <v>-4.13319726902759</v>
      </c>
      <c r="V142" s="34" t="n">
        <f aca="false">-526*SIN(U142)+44*SIN(P142+U142)-31*SIN(-P142+U142)-23*SIN(Q142+U142)+11*SIN(-Q142+U142)-25*SIN(-2*P142+S142)+21*SIN(-P142+S142)</f>
        <v>-437.437723314408</v>
      </c>
      <c r="W142" s="36" t="n">
        <f aca="false">2*PI()*(N142+O142/1296000-INT(N142+O142/1296000))</f>
        <v>5.35214855449942</v>
      </c>
      <c r="X142" s="35" t="n">
        <f aca="false">W142*180/PI()</f>
        <v>306.655523499861</v>
      </c>
      <c r="Y142" s="36" t="n">
        <f aca="false">(18520*SIN(T142)+V142)/206264.8062</f>
        <v>-0.088731675836993</v>
      </c>
      <c r="Z142" s="36" t="n">
        <f aca="false">Y142*180/PI()</f>
        <v>-5.08395053458265</v>
      </c>
      <c r="AA142" s="36" t="n">
        <f aca="false">COS(Y142)*COS(W142)</f>
        <v>0.594653927821759</v>
      </c>
      <c r="AB142" s="36" t="n">
        <f aca="false">COS(Y142)*SIN(W142)</f>
        <v>-0.799083247950436</v>
      </c>
      <c r="AC142" s="36" t="n">
        <f aca="false">SIN(Y142)</f>
        <v>-0.0886152863288075</v>
      </c>
      <c r="AD142" s="36" t="n">
        <f aca="false">COS($A$10*(23.4393-46.815*L142/3600))*AB142-SIN($A$10*(23.4393-46.815*L142/3600))*AC142</f>
        <v>-0.697915624980389</v>
      </c>
      <c r="AE142" s="36" t="n">
        <f aca="false">SIN($A$10*(23.4393-46.815*L142/3600))*AB142+COS($A$10*(23.4393-46.815*L142/3600))*AC142</f>
        <v>-0.399124650371769</v>
      </c>
      <c r="AF142" s="36" t="n">
        <f aca="false">SQRT(1-AE142*AE142)</f>
        <v>0.916896675457826</v>
      </c>
      <c r="AG142" s="35" t="n">
        <f aca="false">ATAN(AE142/AF142)/$A$10</f>
        <v>-23.5234675451863</v>
      </c>
      <c r="AH142" s="36" t="n">
        <f aca="false">IF(24*ATAN(AD142/(AA142+AF142))/PI()&gt;0,24*ATAN(AD142/(AA142+AF142))/PI(),24*ATAN(AD142/(AA142+AF142))/PI()+24)</f>
        <v>20.6954943628309</v>
      </c>
      <c r="AI142" s="63" t="n">
        <f aca="false">IF(M142-15*AH142&gt;0,M142-15*AH142,360+M142-15*AH142)</f>
        <v>303.188265466674</v>
      </c>
      <c r="AJ142" s="32" t="n">
        <f aca="false">0.950724+0.051818*COS(P142)+0.009531*COS(2*R142-P142)+0.007843*COS(2*R142)+0.002824*COS(2*P142)+0.000857*COS(2*R142+P142)+0.000533*COS(2*R142-Q142)*(1-0.002495*(J142-2415020)/36525)+0.000401*COS(2*R142-Q142-P142)*(1-0.002495*(J142-2415020)/36525)+0.00032*COS(P142-Q142)*(1-0.002495*(J142-2415020)/36525)-0.000271*COS(R142)</f>
        <v>0.992106856827793</v>
      </c>
      <c r="AK142" s="36" t="n">
        <f aca="false">ASIN(COS($A$10*$B$5)*COS($A$10*AG142)*COS($A$10*AI142)+SIN($A$10*$B$5)*SIN($A$10*AG142))/$A$10</f>
        <v>0.966568892356589</v>
      </c>
      <c r="AL142" s="32" t="n">
        <f aca="false">ASIN((0.9983271+0.0016764*COS($A$10*2*$B$5))*COS($A$10*AK142)*SIN($A$10*AJ142))/$A$10</f>
        <v>0.990017255523388</v>
      </c>
      <c r="AM142" s="32" t="n">
        <f aca="false">AK142-AL142</f>
        <v>-0.0234483631667991</v>
      </c>
      <c r="AN142" s="35" t="n">
        <f aca="false"> MOD(280.4664567 + 360007.6982779*L142/10 + 0.03032028*L142^2/100 + L142^3/49931000,360)</f>
        <v>58.6264644193761</v>
      </c>
      <c r="AO142" s="32" t="n">
        <f aca="false"> AN142 + (1.9146 - 0.004817*L142 - 0.000014*L142^2)*SIN(Q142)+ (0.019993 - 0.000101*L142)*SIN(2*Q142)+ 0.00029*SIN(3*Q142)</f>
        <v>59.9525949655122</v>
      </c>
      <c r="AP142" s="32" t="n">
        <f aca="false">ACOS(COS(W142-$A$10*AO142)*COS(Y142))/$A$10</f>
        <v>113.200045388843</v>
      </c>
      <c r="AQ142" s="34" t="n">
        <f aca="false">180 - AP142 -0.1468*(1-0.0549*SIN(Q142))*SIN($A$10*AP142)/(1-0.0167*SIN($A$10*AO142))</f>
        <v>66.6683331083544</v>
      </c>
      <c r="AR142" s="64" t="n">
        <f aca="false">SIN($A$10*AI142)</f>
        <v>-0.836876440275341</v>
      </c>
      <c r="AS142" s="64" t="n">
        <f aca="false">COS($A$10*AI142)*SIN($A$10*$B$5) - TAN($A$10*AG142)*COS($A$10*$B$5)</f>
        <v>0.699131590574292</v>
      </c>
      <c r="AT142" s="24" t="n">
        <f aca="false">IF(OR(AND(AR142*AS142&gt;0), AND(AR142&lt;0,AS142&gt;0)), MOD(ATAN2(AS142,AR142)/$A$10+360,360),  ATAN2(AS142,AR142)/$A$10)</f>
        <v>309.875584279913</v>
      </c>
      <c r="AU142" s="39" t="n">
        <f aca="false"> 385000.56 + (-20905355*COS(P142) - 3699111*COS(2*R142-P142) - 2955968*COS(2*R142) - 569925*COS(2*P142) + (1-0.002516*L142)*48888*COS(Q142) - 3149*COS(2*S142)  +246158*COS(2*R142-2*P142) -(1 - 0.002516*L142)*152138*COS(2*R142-Q142-P142) -170733*COS(2*R142+P142) -(1 - 0.002516*L142)*204586*COS(2*R142-Q142) -(1 - 0.002516*L142)*129620*COS(Q142-P142)  + 108743*COS(R142) +(1-0.002516*L142)*104755*COS(Q142+P142) +10321*COS(2*R142-2*S142) +79661*COS(P142-2*S142) -34782*COS(4*R142-P142) -23210*COS(3*P142)  -21636*COS(4*R142-2*P142) +(1 - 0.002516*L142)*24208*COS(2*R142+Q142-P142) +(1 - 0.002516*L142)*30824*COS(2*R142+Q142) -8379*COS(R142-P142) -(1 - 0.002516*L142)*16675*COS(R142+Q142)  -(1 - 0.002516*L142)*12831*COS(2*R142-Q142+P142) -10445*COS(2*R142+2*P142) -11650*COS(4*R142) +14403*COS(2*R142-3*P142) -(1-0.002516*L142)*7003*COS(Q142-2*P142)  + (1 - 0.002516*L142)*10056*COS(2*R142-Q142-2*P142) +6322*COS(R142+P142) -(1 - 0.002516*L142)*(1-0.002516*L142)*9884*COS(2*R142-2*Q142) +(1-0.002516*L142)*5751*COS(Q142+2*P142) - (1-0.002516*L142)^2*4950*COS(2*R142-2*Q142-P142)  +4130*COS(2*R142+P142-2*S142) -(1-0.002516*L142)*3958*COS(4*R142-Q142-P142) +3258*COS(3*R142-P142) +(1 - 0.002516*L142)*2616*COS(2*R142+Q142+P142) -(1 - 0.002516*L142)*1897*COS(4*R142-Q142-2*P142)  -(1-0.002516*L142)^2*2117*COS(2*Q142-P142) +(1-0.002516*L142)^2*2354*COS(2*R142+2*Q142-P142) -1423*COS(4*R142+P142) -1117*COS(4*P142) -(1-0.002516*L142)*1571*COS(4*R142-Q142)  -1739*COS(R142-2*P142) -4421*COS(2*P142-2*S142) +(1-0.002516*L142)^2*1165*COS(2*Q142+P142) +8752*COS(2*R142-P142-2*S142))/1000</f>
        <v>368325.026270441</v>
      </c>
      <c r="AV142" s="54" t="n">
        <f aca="false">ATAN(0.99664719*TAN($A$10*input!$E$2))</f>
        <v>0.871010436227447</v>
      </c>
      <c r="AW142" s="54" t="n">
        <f aca="false">COS(AV142)</f>
        <v>0.644053912545845</v>
      </c>
      <c r="AX142" s="54" t="n">
        <f aca="false">0.99664719*SIN(AV142)</f>
        <v>0.762415269897027</v>
      </c>
      <c r="AY142" s="54" t="n">
        <f aca="false">6378.14/AU142</f>
        <v>0.0173166077379626</v>
      </c>
      <c r="AZ142" s="55" t="n">
        <f aca="false">M142-15*AH142</f>
        <v>-56.8117345333255</v>
      </c>
      <c r="BA142" s="56" t="n">
        <f aca="false">COS($A$10*AG142)*SIN($A$10*AZ142)</f>
        <v>-0.76732922585744</v>
      </c>
      <c r="BB142" s="56" t="n">
        <f aca="false">COS($A$10*AG142)*COS($A$10*AZ142)-AW142*AY142</f>
        <v>0.490748926969342</v>
      </c>
      <c r="BC142" s="56" t="n">
        <f aca="false">SIN($A$10*AG142)-AX142*AY142</f>
        <v>-0.412327096534009</v>
      </c>
      <c r="BD142" s="57" t="n">
        <f aca="false">SQRT(BA142^2+BB142^2+BC142^2)</f>
        <v>0.999821126358463</v>
      </c>
      <c r="BE142" s="58" t="n">
        <f aca="false">AU142*BD142</f>
        <v>368259.142631723</v>
      </c>
    </row>
    <row r="143" customFormat="false" ht="15" hidden="false" customHeight="false" outlineLevel="0" collapsed="false">
      <c r="D143" s="41" t="n">
        <f aca="false">K143-INT(275*E143/9)+IF($A$8="common year",2,1)*INT((E143+9)/12)+30</f>
        <v>22</v>
      </c>
      <c r="E143" s="41" t="n">
        <f aca="false">IF(K143&lt;32,1,INT(9*(IF($A$8="common year",2,1)+K143)/275+0.98))</f>
        <v>5</v>
      </c>
      <c r="F143" s="42" t="n">
        <f aca="false">AM143</f>
        <v>-4.0194475449625</v>
      </c>
      <c r="G143" s="60" t="n">
        <f aca="false">F143+1.02/(TAN($A$10*(F143+10.3/(F143+5.11)))*60)</f>
        <v>-3.84045021345218</v>
      </c>
      <c r="H143" s="43" t="n">
        <f aca="false">100*(1+COS($A$10*AQ143))/2</f>
        <v>58.8429180334293</v>
      </c>
      <c r="I143" s="43" t="n">
        <f aca="false">IF(AI143&gt;180,AT143-180,AT143+180)</f>
        <v>117.255344682647</v>
      </c>
      <c r="J143" s="61" t="n">
        <f aca="false">$J$2+K142</f>
        <v>2459721.5</v>
      </c>
      <c r="K143" s="21" t="n">
        <v>142</v>
      </c>
      <c r="L143" s="62" t="n">
        <f aca="false">(J143-2451545)/36525</f>
        <v>0.223860369609856</v>
      </c>
      <c r="M143" s="63" t="n">
        <f aca="false">MOD(280.46061837+360.98564736629*(J143-2451545)+0.000387933*L143^2-L143^3/38710000+$B$7,360)</f>
        <v>254.606328280643</v>
      </c>
      <c r="N143" s="30" t="n">
        <f aca="false">0.606433+1336.855225*L143 - INT(0.606433+1336.855225*L143)</f>
        <v>0.875337783367513</v>
      </c>
      <c r="O143" s="35" t="n">
        <f aca="false">22640*SIN(P143)-4586*SIN(P143-2*R143)+2370*SIN(2*R143)+769*SIN(2*P143)-668*SIN(Q143)-412*SIN(2*S143)-212*SIN(2*P143-2*R143)-206*SIN(P143+Q143-2*R143)+192*SIN(P143+2*R143)-165*SIN(Q143-2*R143)-125*SIN(R143)-110*SIN(P143+Q143)+148*SIN(P143-Q143)-55*SIN(2*S143-2*R143)</f>
        <v>20534.8101690236</v>
      </c>
      <c r="P143" s="32" t="n">
        <f aca="false">2*PI()*(0.374897+1325.55241*L143 - INT(0.374897+1325.55241*L143))</f>
        <v>0.713452172014194</v>
      </c>
      <c r="Q143" s="36" t="n">
        <f aca="false">2*PI()*(0.993133+99.997361*L143 - INT(0.993133+99.997361*L143))</f>
        <v>2.378683226016</v>
      </c>
      <c r="R143" s="36" t="n">
        <f aca="false">2*PI()*(0.827361+1236.853086*L143 - INT(0.827361+1236.853086*L143))</f>
        <v>4.45949067784564</v>
      </c>
      <c r="S143" s="36" t="n">
        <f aca="false">2*PI()*(0.259086+1342.227825*L143 - INT(0.259086+1342.227825*L143))</f>
        <v>4.59114238576664</v>
      </c>
      <c r="T143" s="36" t="n">
        <f aca="false">S143+(O143+412*SIN(2*S143)+541*SIN(Q143))/206264.8062</f>
        <v>4.69299004121547</v>
      </c>
      <c r="U143" s="36" t="n">
        <f aca="false">S143-2*R143</f>
        <v>-4.32783896992464</v>
      </c>
      <c r="V143" s="34" t="n">
        <f aca="false">-526*SIN(U143)+44*SIN(P143+U143)-31*SIN(-P143+U143)-23*SIN(Q143+U143)+11*SIN(-Q143+U143)-25*SIN(-2*P143+S143)+21*SIN(-P143+S143)</f>
        <v>-493.56554738208</v>
      </c>
      <c r="W143" s="36" t="n">
        <f aca="false">2*PI()*(N143+O143/1296000-INT(N143+O143/1296000))</f>
        <v>5.5994650683632</v>
      </c>
      <c r="X143" s="35" t="n">
        <f aca="false">W143*180/PI()</f>
        <v>320.825715948145</v>
      </c>
      <c r="Y143" s="36" t="n">
        <f aca="false">(18520*SIN(T143)+V143)/206264.8062</f>
        <v>-0.0921634732284945</v>
      </c>
      <c r="Z143" s="36" t="n">
        <f aca="false">Y143*180/PI()</f>
        <v>-5.28057804125969</v>
      </c>
      <c r="AA143" s="36" t="n">
        <f aca="false">COS(Y143)*COS(W143)</f>
        <v>0.771937978252589</v>
      </c>
      <c r="AB143" s="36" t="n">
        <f aca="false">COS(Y143)*SIN(W143)</f>
        <v>-0.629000536293107</v>
      </c>
      <c r="AC143" s="36" t="n">
        <f aca="false">SIN(Y143)</f>
        <v>-0.092033054248404</v>
      </c>
      <c r="AD143" s="36" t="n">
        <f aca="false">COS($A$10*(23.4393-46.815*L143/3600))*AB143-SIN($A$10*(23.4393-46.815*L143/3600))*AC143</f>
        <v>-0.540505012522417</v>
      </c>
      <c r="AE143" s="36" t="n">
        <f aca="false">SIN($A$10*(23.4393-46.815*L143/3600))*AB143+COS($A$10*(23.4393-46.815*L143/3600))*AC143</f>
        <v>-0.334613342784546</v>
      </c>
      <c r="AF143" s="36" t="n">
        <f aca="false">SQRT(1-AE143*AE143)</f>
        <v>0.942355511911801</v>
      </c>
      <c r="AG143" s="35" t="n">
        <f aca="false">ATAN(AE143/AF143)/$A$10</f>
        <v>-19.5490272406938</v>
      </c>
      <c r="AH143" s="36" t="n">
        <f aca="false">IF(24*ATAN(AD143/(AA143+AF143))/PI()&gt;0,24*ATAN(AD143/(AA143+AF143))/PI(),24*ATAN(AD143/(AA143+AF143))/PI()+24)</f>
        <v>21.6667057764248</v>
      </c>
      <c r="AI143" s="63" t="n">
        <f aca="false">IF(M143-15*AH143&gt;0,M143-15*AH143,360+M143-15*AH143)</f>
        <v>289.605741634271</v>
      </c>
      <c r="AJ143" s="32" t="n">
        <f aca="false">0.950724+0.051818*COS(P143)+0.009531*COS(2*R143-P143)+0.007843*COS(2*R143)+0.002824*COS(2*P143)+0.000857*COS(2*R143+P143)+0.000533*COS(2*R143-Q143)*(1-0.002495*(J143-2415020)/36525)+0.000401*COS(2*R143-Q143-P143)*(1-0.002495*(J143-2415020)/36525)+0.00032*COS(P143-Q143)*(1-0.002495*(J143-2415020)/36525)-0.000271*COS(R143)</f>
        <v>0.980237838377727</v>
      </c>
      <c r="AK143" s="36" t="n">
        <f aca="false">ASIN(COS($A$10*$B$5)*COS($A$10*AG143)*COS($A$10*AI143)+SIN($A$10*$B$5)*SIN($A$10*AG143))/$A$10</f>
        <v>-3.04251422240758</v>
      </c>
      <c r="AL143" s="32" t="n">
        <f aca="false">ASIN((0.9983271+0.0016764*COS($A$10*2*$B$5))*COS($A$10*AK143)*SIN($A$10*AJ143))/$A$10</f>
        <v>0.976933322554926</v>
      </c>
      <c r="AM143" s="32" t="n">
        <f aca="false">AK143-AL143</f>
        <v>-4.0194475449625</v>
      </c>
      <c r="AN143" s="35" t="n">
        <f aca="false"> MOD(280.4664567 + 360007.6982779*L143/10 + 0.03032028*L143^2/100 + L143^3/49931000,360)</f>
        <v>59.6121117831972</v>
      </c>
      <c r="AO143" s="32" t="n">
        <f aca="false"> AN143 + (1.9146 - 0.004817*L143 - 0.000014*L143^2)*SIN(Q143)+ (0.019993 - 0.000101*L143)*SIN(2*Q143)+ 0.00029*SIN(3*Q143)</f>
        <v>60.9146753938635</v>
      </c>
      <c r="AP143" s="32" t="n">
        <f aca="false">ACOS(COS(W143-$A$10*AO143)*COS(Y143))/$A$10</f>
        <v>100.045696225994</v>
      </c>
      <c r="AQ143" s="34" t="n">
        <f aca="false">180 - AP143 -0.1468*(1-0.0549*SIN(Q143))*SIN($A$10*AP143)/(1-0.0167*SIN($A$10*AO143))</f>
        <v>79.8131786102156</v>
      </c>
      <c r="AR143" s="64" t="n">
        <f aca="false">SIN($A$10*AI143)</f>
        <v>-0.942023832313699</v>
      </c>
      <c r="AS143" s="64" t="n">
        <f aca="false">COS($A$10*AI143)*SIN($A$10*$B$5) - TAN($A$10*AG143)*COS($A$10*$B$5)</f>
        <v>0.485285343801493</v>
      </c>
      <c r="AT143" s="24" t="n">
        <f aca="false">IF(OR(AND(AR143*AS143&gt;0), AND(AR143&lt;0,AS143&gt;0)), MOD(ATAN2(AS143,AR143)/$A$10+360,360),  ATAN2(AS143,AR143)/$A$10)</f>
        <v>297.255344682647</v>
      </c>
      <c r="AU143" s="39" t="n">
        <f aca="false"> 385000.56 + (-20905355*COS(P143) - 3699111*COS(2*R143-P143) - 2955968*COS(2*R143) - 569925*COS(2*P143) + (1-0.002516*L143)*48888*COS(Q143) - 3149*COS(2*S143)  +246158*COS(2*R143-2*P143) -(1 - 0.002516*L143)*152138*COS(2*R143-Q143-P143) -170733*COS(2*R143+P143) -(1 - 0.002516*L143)*204586*COS(2*R143-Q143) -(1 - 0.002516*L143)*129620*COS(Q143-P143)  + 108743*COS(R143) +(1-0.002516*L143)*104755*COS(Q143+P143) +10321*COS(2*R143-2*S143) +79661*COS(P143-2*S143) -34782*COS(4*R143-P143) -23210*COS(3*P143)  -21636*COS(4*R143-2*P143) +(1 - 0.002516*L143)*24208*COS(2*R143+Q143-P143) +(1 - 0.002516*L143)*30824*COS(2*R143+Q143) -8379*COS(R143-P143) -(1 - 0.002516*L143)*16675*COS(R143+Q143)  -(1 - 0.002516*L143)*12831*COS(2*R143-Q143+P143) -10445*COS(2*R143+2*P143) -11650*COS(4*R143) +14403*COS(2*R143-3*P143) -(1-0.002516*L143)*7003*COS(Q143-2*P143)  + (1 - 0.002516*L143)*10056*COS(2*R143-Q143-2*P143) +6322*COS(R143+P143) -(1 - 0.002516*L143)*(1-0.002516*L143)*9884*COS(2*R143-2*Q143) +(1-0.002516*L143)*5751*COS(Q143+2*P143) - (1-0.002516*L143)^2*4950*COS(2*R143-2*Q143-P143)  +4130*COS(2*R143+P143-2*S143) -(1-0.002516*L143)*3958*COS(4*R143-Q143-P143) +3258*COS(3*R143-P143) +(1 - 0.002516*L143)*2616*COS(2*R143+Q143+P143) -(1 - 0.002516*L143)*1897*COS(4*R143-Q143-2*P143)  -(1-0.002516*L143)^2*2117*COS(2*Q143-P143) +(1-0.002516*L143)^2*2354*COS(2*R143+2*Q143-P143) -1423*COS(4*R143+P143) -1117*COS(4*P143) -(1-0.002516*L143)*1571*COS(4*R143-Q143)  -1739*COS(R143-2*P143) -4421*COS(2*P143-2*S143) +(1-0.002516*L143)^2*1165*COS(2*Q143+P143) +8752*COS(2*R143-P143-2*S143))/1000</f>
        <v>372767.085274839</v>
      </c>
      <c r="AV143" s="54" t="n">
        <f aca="false">ATAN(0.99664719*TAN($A$10*input!$E$2))</f>
        <v>0.871010436227447</v>
      </c>
      <c r="AW143" s="54" t="n">
        <f aca="false">COS(AV143)</f>
        <v>0.644053912545845</v>
      </c>
      <c r="AX143" s="54" t="n">
        <f aca="false">0.99664719*SIN(AV143)</f>
        <v>0.762415269897027</v>
      </c>
      <c r="AY143" s="54" t="n">
        <f aca="false">6378.14/AU143</f>
        <v>0.0171102553094178</v>
      </c>
      <c r="AZ143" s="55" t="n">
        <f aca="false">M143-15*AH143</f>
        <v>-70.3942583657293</v>
      </c>
      <c r="BA143" s="56" t="n">
        <f aca="false">COS($A$10*AG143)*SIN($A$10*AZ143)</f>
        <v>-0.887721350733092</v>
      </c>
      <c r="BB143" s="56" t="n">
        <f aca="false">COS($A$10*AG143)*COS($A$10*AZ143)-AW143*AY143</f>
        <v>0.305183669376051</v>
      </c>
      <c r="BC143" s="56" t="n">
        <f aca="false">SIN($A$10*AG143)-AX143*AY143</f>
        <v>-0.347658462704283</v>
      </c>
      <c r="BD143" s="57" t="n">
        <f aca="false">SQRT(BA143^2+BB143^2+BC143^2)</f>
        <v>1.00102581150094</v>
      </c>
      <c r="BE143" s="58" t="n">
        <f aca="false">AU143*BD143</f>
        <v>373149.474038087</v>
      </c>
    </row>
    <row r="144" customFormat="false" ht="15" hidden="false" customHeight="false" outlineLevel="0" collapsed="false">
      <c r="D144" s="41" t="n">
        <f aca="false">K144-INT(275*E144/9)+IF($A$8="common year",2,1)*INT((E144+9)/12)+30</f>
        <v>23</v>
      </c>
      <c r="E144" s="41" t="n">
        <f aca="false">IF(K144&lt;32,1,INT(9*(IF($A$8="common year",2,1)+K144)/275+0.98))</f>
        <v>5</v>
      </c>
      <c r="F144" s="42" t="n">
        <f aca="false">AM144</f>
        <v>-7.61157463115386</v>
      </c>
      <c r="G144" s="60" t="n">
        <f aca="false">F144+1.02/(TAN($A$10*(F144+10.3/(F144+5.11)))*60)</f>
        <v>-7.69345593165889</v>
      </c>
      <c r="H144" s="43" t="n">
        <f aca="false">100*(1+COS($A$10*AQ144))/2</f>
        <v>47.7188863352265</v>
      </c>
      <c r="I144" s="43" t="n">
        <f aca="false">IF(AI144&gt;180,AT144-180,AT144+180)</f>
        <v>104.835637886556</v>
      </c>
      <c r="J144" s="61" t="n">
        <f aca="false">$J$2+K143</f>
        <v>2459722.5</v>
      </c>
      <c r="K144" s="21" t="n">
        <v>143</v>
      </c>
      <c r="L144" s="62" t="n">
        <f aca="false">(J144-2451545)/36525</f>
        <v>0.223887748117728</v>
      </c>
      <c r="M144" s="63" t="n">
        <f aca="false">MOD(280.46061837+360.98564736629*(J144-2451545)+0.000387933*L144^2-L144^3/38710000+$B$7,360)</f>
        <v>255.591975651681</v>
      </c>
      <c r="N144" s="30" t="n">
        <f aca="false">0.606433+1336.855225*L144 - INT(0.606433+1336.855225*L144)</f>
        <v>0.911938884668018</v>
      </c>
      <c r="O144" s="35" t="n">
        <f aca="false">22640*SIN(P144)-4586*SIN(P144-2*R144)+2370*SIN(2*R144)+769*SIN(2*P144)-668*SIN(Q144)-412*SIN(2*S144)-212*SIN(2*P144-2*R144)-206*SIN(P144+Q144-2*R144)+192*SIN(P144+2*R144)-165*SIN(Q144-2*R144)-125*SIN(R144)-110*SIN(P144+Q144)+148*SIN(P144-Q144)-55*SIN(2*S144-2*R144)</f>
        <v>22852.0485075311</v>
      </c>
      <c r="P144" s="32" t="n">
        <f aca="false">2*PI()*(0.374897+1325.55241*L144 - INT(0.374897+1325.55241*L144))</f>
        <v>0.941479315790012</v>
      </c>
      <c r="Q144" s="36" t="n">
        <f aca="false">2*PI()*(0.993133+99.997361*L144 - INT(0.993133+99.997361*L144))</f>
        <v>2.39588519588301</v>
      </c>
      <c r="R144" s="36" t="n">
        <f aca="false">2*PI()*(0.827361+1236.853086*L144 - INT(0.827361+1236.853086*L144))</f>
        <v>4.6722593879643</v>
      </c>
      <c r="S144" s="36" t="n">
        <f aca="false">2*PI()*(0.259086+1342.227825*L144 - INT(0.259086+1342.227825*L144))</f>
        <v>4.82203810510764</v>
      </c>
      <c r="T144" s="36" t="n">
        <f aca="false">S144+(O144+412*SIN(2*S144)+541*SIN(Q144))/206264.8062</f>
        <v>4.93417300831752</v>
      </c>
      <c r="U144" s="36" t="n">
        <f aca="false">S144-2*R144</f>
        <v>-4.52248067082096</v>
      </c>
      <c r="V144" s="34" t="n">
        <f aca="false">-526*SIN(U144)+44*SIN(P144+U144)-31*SIN(-P144+U144)-23*SIN(Q144+U144)+11*SIN(-Q144+U144)-25*SIN(-2*P144+S144)+21*SIN(-P144+S144)</f>
        <v>-526.635503493069</v>
      </c>
      <c r="W144" s="36" t="n">
        <f aca="false">2*PI()*(N144+O144/1296000-INT(N144+O144/1296000))</f>
        <v>5.84067085877013</v>
      </c>
      <c r="X144" s="35" t="n">
        <f aca="false">W144*180/PI()</f>
        <v>334.645789732579</v>
      </c>
      <c r="Y144" s="36" t="n">
        <f aca="false">(18520*SIN(T144)+V144)/206264.8062</f>
        <v>-0.0901414909295471</v>
      </c>
      <c r="Z144" s="36" t="n">
        <f aca="false">Y144*180/PI()</f>
        <v>-5.16472698927984</v>
      </c>
      <c r="AA144" s="36" t="n">
        <f aca="false">COS(Y144)*COS(W144)</f>
        <v>0.90000887500302</v>
      </c>
      <c r="AB144" s="36" t="n">
        <f aca="false">COS(Y144)*SIN(W144)</f>
        <v>-0.42647452509288</v>
      </c>
      <c r="AC144" s="36" t="n">
        <f aca="false">SIN(Y144)</f>
        <v>-0.0900194665758496</v>
      </c>
      <c r="AD144" s="36" t="n">
        <f aca="false">COS($A$10*(23.4393-46.815*L144/3600))*AB144-SIN($A$10*(23.4393-46.815*L144/3600))*AC144</f>
        <v>-0.355487816894499</v>
      </c>
      <c r="AE144" s="36" t="n">
        <f aca="false">SIN($A$10*(23.4393-46.815*L144/3600))*AB144+COS($A$10*(23.4393-46.815*L144/3600))*AC144</f>
        <v>-0.252215060920995</v>
      </c>
      <c r="AF144" s="36" t="n">
        <f aca="false">SQRT(1-AE144*AE144)</f>
        <v>0.967671206063619</v>
      </c>
      <c r="AG144" s="35" t="n">
        <f aca="false">ATAN(AE144/AF144)/$A$10</f>
        <v>-14.6086268814046</v>
      </c>
      <c r="AH144" s="36" t="n">
        <f aca="false">IF(24*ATAN(AD144/(AA144+AF144))/PI()&gt;0,24*ATAN(AD144/(AA144+AF144))/PI(),24*ATAN(AD144/(AA144+AF144))/PI()+24)</f>
        <v>22.5631229366844</v>
      </c>
      <c r="AI144" s="63" t="n">
        <f aca="false">IF(M144-15*AH144&gt;0,M144-15*AH144,360+M144-15*AH144)</f>
        <v>277.145131601416</v>
      </c>
      <c r="AJ144" s="32" t="n">
        <f aca="false">0.950724+0.051818*COS(P144)+0.009531*COS(2*R144-P144)+0.007843*COS(2*R144)+0.002824*COS(2*P144)+0.000857*COS(2*R144+P144)+0.000533*COS(2*R144-Q144)*(1-0.002495*(J144-2415020)/36525)+0.000401*COS(2*R144-Q144-P144)*(1-0.002495*(J144-2415020)/36525)+0.00032*COS(P144-Q144)*(1-0.002495*(J144-2415020)/36525)-0.000271*COS(R144)</f>
        <v>0.967856787135213</v>
      </c>
      <c r="AK144" s="36" t="n">
        <f aca="false">ASIN(COS($A$10*$B$5)*COS($A$10*AG144)*COS($A$10*AI144)+SIN($A$10*$B$5)*SIN($A$10*AG144))/$A$10</f>
        <v>-6.65212252057465</v>
      </c>
      <c r="AL144" s="32" t="n">
        <f aca="false">ASIN((0.9983271+0.0016764*COS($A$10*2*$B$5))*COS($A$10*AK144)*SIN($A$10*AJ144))/$A$10</f>
        <v>0.959452110579207</v>
      </c>
      <c r="AM144" s="32" t="n">
        <f aca="false">AK144-AL144</f>
        <v>-7.61157463115386</v>
      </c>
      <c r="AN144" s="35" t="n">
        <f aca="false"> MOD(280.4664567 + 360007.6982779*L144/10 + 0.03032028*L144^2/100 + L144^3/49931000,360)</f>
        <v>60.59775914702</v>
      </c>
      <c r="AO144" s="32" t="n">
        <f aca="false"> AN144 + (1.9146 - 0.004817*L144 - 0.000014*L144^2)*SIN(Q144)+ (0.019993 - 0.000101*L144)*SIN(2*Q144)+ 0.00029*SIN(3*Q144)</f>
        <v>61.876387587448</v>
      </c>
      <c r="AP144" s="32" t="n">
        <f aca="false">ACOS(COS(W144-$A$10*AO144)*COS(Y144))/$A$10</f>
        <v>87.2418503218814</v>
      </c>
      <c r="AQ144" s="34" t="n">
        <f aca="false">180 - AP144 -0.1468*(1-0.0549*SIN(Q144))*SIN($A$10*AP144)/(1-0.0167*SIN($A$10*AO144))</f>
        <v>92.6148713424392</v>
      </c>
      <c r="AR144" s="64" t="n">
        <f aca="false">SIN($A$10*AI144)</f>
        <v>-0.992234269772371</v>
      </c>
      <c r="AS144" s="64" t="n">
        <f aca="false">COS($A$10*AI144)*SIN($A$10*$B$5) - TAN($A$10*AG144)*COS($A$10*$B$5)</f>
        <v>0.262819962205388</v>
      </c>
      <c r="AT144" s="24" t="n">
        <f aca="false">IF(OR(AND(AR144*AS144&gt;0), AND(AR144&lt;0,AS144&gt;0)), MOD(ATAN2(AS144,AR144)/$A$10+360,360),  ATAN2(AS144,AR144)/$A$10)</f>
        <v>284.835637886556</v>
      </c>
      <c r="AU144" s="39" t="n">
        <f aca="false"> 385000.56 + (-20905355*COS(P144) - 3699111*COS(2*R144-P144) - 2955968*COS(2*R144) - 569925*COS(2*P144) + (1-0.002516*L144)*48888*COS(Q144) - 3149*COS(2*S144)  +246158*COS(2*R144-2*P144) -(1 - 0.002516*L144)*152138*COS(2*R144-Q144-P144) -170733*COS(2*R144+P144) -(1 - 0.002516*L144)*204586*COS(2*R144-Q144) -(1 - 0.002516*L144)*129620*COS(Q144-P144)  + 108743*COS(R144) +(1-0.002516*L144)*104755*COS(Q144+P144) +10321*COS(2*R144-2*S144) +79661*COS(P144-2*S144) -34782*COS(4*R144-P144) -23210*COS(3*P144)  -21636*COS(4*R144-2*P144) +(1 - 0.002516*L144)*24208*COS(2*R144+Q144-P144) +(1 - 0.002516*L144)*30824*COS(2*R144+Q144) -8379*COS(R144-P144) -(1 - 0.002516*L144)*16675*COS(R144+Q144)  -(1 - 0.002516*L144)*12831*COS(2*R144-Q144+P144) -10445*COS(2*R144+2*P144) -11650*COS(4*R144) +14403*COS(2*R144-3*P144) -(1-0.002516*L144)*7003*COS(Q144-2*P144)  + (1 - 0.002516*L144)*10056*COS(2*R144-Q144-2*P144) +6322*COS(R144+P144) -(1 - 0.002516*L144)*(1-0.002516*L144)*9884*COS(2*R144-2*Q144) +(1-0.002516*L144)*5751*COS(Q144+2*P144) - (1-0.002516*L144)^2*4950*COS(2*R144-2*Q144-P144)  +4130*COS(2*R144+P144-2*S144) -(1-0.002516*L144)*3958*COS(4*R144-Q144-P144) +3258*COS(3*R144-P144) +(1 - 0.002516*L144)*2616*COS(2*R144+Q144+P144) -(1 - 0.002516*L144)*1897*COS(4*R144-Q144-2*P144)  -(1-0.002516*L144)^2*2117*COS(2*Q144-P144) +(1-0.002516*L144)^2*2354*COS(2*R144+2*Q144-P144) -1423*COS(4*R144+P144) -1117*COS(4*P144) -(1-0.002516*L144)*1571*COS(4*R144-Q144)  -1739*COS(R144-2*P144) -4421*COS(2*P144-2*S144) +(1-0.002516*L144)^2*1165*COS(2*Q144+P144) +8752*COS(2*R144-P144-2*S144))/1000</f>
        <v>377497.918908261</v>
      </c>
      <c r="AV144" s="54" t="n">
        <f aca="false">ATAN(0.99664719*TAN($A$10*input!$E$2))</f>
        <v>0.871010436227447</v>
      </c>
      <c r="AW144" s="54" t="n">
        <f aca="false">COS(AV144)</f>
        <v>0.644053912545845</v>
      </c>
      <c r="AX144" s="54" t="n">
        <f aca="false">0.99664719*SIN(AV144)</f>
        <v>0.762415269897027</v>
      </c>
      <c r="AY144" s="54" t="n">
        <f aca="false">6378.14/AU144</f>
        <v>0.0168958282430956</v>
      </c>
      <c r="AZ144" s="55" t="n">
        <f aca="false">M144-15*AH144</f>
        <v>-82.8548683985842</v>
      </c>
      <c r="BA144" s="56" t="n">
        <f aca="false">COS($A$10*AG144)*SIN($A$10*AZ144)</f>
        <v>-0.960156532528285</v>
      </c>
      <c r="BB144" s="56" t="n">
        <f aca="false">COS($A$10*AG144)*COS($A$10*AZ144)-AW144*AY144</f>
        <v>0.109480113584573</v>
      </c>
      <c r="BC144" s="56" t="n">
        <f aca="false">SIN($A$10*AG144)-AX144*AY144</f>
        <v>-0.265096698371089</v>
      </c>
      <c r="BD144" s="57" t="n">
        <f aca="false">SQRT(BA144^2+BB144^2+BC144^2)</f>
        <v>1.00207919932233</v>
      </c>
      <c r="BE144" s="58" t="n">
        <f aca="false">AU144*BD144</f>
        <v>378282.812325436</v>
      </c>
    </row>
    <row r="145" customFormat="false" ht="15" hidden="false" customHeight="false" outlineLevel="0" collapsed="false">
      <c r="D145" s="41" t="n">
        <f aca="false">K145-INT(275*E145/9)+IF($A$8="common year",2,1)*INT((E145+9)/12)+30</f>
        <v>24</v>
      </c>
      <c r="E145" s="41" t="n">
        <f aca="false">IF(K145&lt;32,1,INT(9*(IF($A$8="common year",2,1)+K145)/275+0.98))</f>
        <v>5</v>
      </c>
      <c r="F145" s="42" t="n">
        <f aca="false">AM145</f>
        <v>-10.6909307762452</v>
      </c>
      <c r="G145" s="60" t="n">
        <f aca="false">F145+1.02/(TAN($A$10*(F145+10.3/(F145+5.11)))*60)</f>
        <v>-10.7673822989405</v>
      </c>
      <c r="H145" s="43" t="n">
        <f aca="false">100*(1+COS($A$10*AQ145))/2</f>
        <v>36.9863555566176</v>
      </c>
      <c r="I145" s="43" t="n">
        <f aca="false">IF(AI145&gt;180,AT145-180,AT145+180)</f>
        <v>92.5425976747102</v>
      </c>
      <c r="J145" s="61" t="n">
        <f aca="false">$J$2+K144</f>
        <v>2459723.5</v>
      </c>
      <c r="K145" s="21" t="n">
        <v>144</v>
      </c>
      <c r="L145" s="62" t="n">
        <f aca="false">(J145-2451545)/36525</f>
        <v>0.223915126625599</v>
      </c>
      <c r="M145" s="63" t="n">
        <f aca="false">MOD(280.46061837+360.98564736629*(J145-2451545)+0.000387933*L145^2-L145^3/38710000+$B$7,360)</f>
        <v>256.57762302272</v>
      </c>
      <c r="N145" s="30" t="n">
        <f aca="false">0.606433+1336.855225*L145 - INT(0.606433+1336.855225*L145)</f>
        <v>0.948539985968466</v>
      </c>
      <c r="O145" s="35" t="n">
        <f aca="false">22640*SIN(P145)-4586*SIN(P145-2*R145)+2370*SIN(2*R145)+769*SIN(2*P145)-668*SIN(Q145)-412*SIN(2*S145)-212*SIN(2*P145-2*R145)-206*SIN(P145+Q145-2*R145)+192*SIN(P145+2*R145)-165*SIN(Q145-2*R145)-125*SIN(R145)-110*SIN(P145+Q145)+148*SIN(P145-Q145)-55*SIN(2*S145-2*R145)</f>
        <v>23912.0248712047</v>
      </c>
      <c r="P145" s="32" t="n">
        <f aca="false">2*PI()*(0.374897+1325.55241*L145 - INT(0.374897+1325.55241*L145))</f>
        <v>1.16950645956547</v>
      </c>
      <c r="Q145" s="36" t="n">
        <f aca="false">2*PI()*(0.993133+99.997361*L145 - INT(0.993133+99.997361*L145))</f>
        <v>2.41308716575</v>
      </c>
      <c r="R145" s="36" t="n">
        <f aca="false">2*PI()*(0.827361+1236.853086*L145 - INT(0.827361+1236.853086*L145))</f>
        <v>4.88502809808333</v>
      </c>
      <c r="S145" s="36" t="n">
        <f aca="false">2*PI()*(0.259086+1342.227825*L145 - INT(0.259086+1342.227825*L145))</f>
        <v>5.05293382444865</v>
      </c>
      <c r="T145" s="36" t="n">
        <f aca="false">S145+(O145+412*SIN(2*S145)+541*SIN(Q145))/206264.8062</f>
        <v>5.16935109999999</v>
      </c>
      <c r="U145" s="36" t="n">
        <f aca="false">S145-2*R145</f>
        <v>-4.71712237171801</v>
      </c>
      <c r="V145" s="34" t="n">
        <f aca="false">-526*SIN(U145)+44*SIN(P145+U145)-31*SIN(-P145+U145)-23*SIN(Q145+U145)+11*SIN(-Q145+U145)-25*SIN(-2*P145+S145)+21*SIN(-P145+S145)</f>
        <v>-536.299994586925</v>
      </c>
      <c r="W145" s="36" t="n">
        <f aca="false">2*PI()*(N145+O145/1296000-INT(N145+O145/1296000))</f>
        <v>6.07578127111531</v>
      </c>
      <c r="X145" s="35" t="n">
        <f aca="false">W145*180/PI()</f>
        <v>348.116624079538</v>
      </c>
      <c r="Y145" s="36" t="n">
        <f aca="false">(18520*SIN(T145)+V145)/206264.8062</f>
        <v>-0.0831750852603378</v>
      </c>
      <c r="Z145" s="36" t="n">
        <f aca="false">Y145*180/PI()</f>
        <v>-4.76558134605814</v>
      </c>
      <c r="AA145" s="36" t="n">
        <f aca="false">COS(Y145)*COS(W145)</f>
        <v>0.975185808217792</v>
      </c>
      <c r="AB145" s="36" t="n">
        <f aca="false">COS(Y145)*SIN(W145)</f>
        <v>-0.205208389885763</v>
      </c>
      <c r="AC145" s="36" t="n">
        <f aca="false">SIN(Y145)</f>
        <v>-0.0830792162403121</v>
      </c>
      <c r="AD145" s="36" t="n">
        <f aca="false">COS($A$10*(23.4393-46.815*L145/3600))*AB145-SIN($A$10*(23.4393-46.815*L145/3600))*AC145</f>
        <v>-0.155235999807725</v>
      </c>
      <c r="AE145" s="36" t="n">
        <f aca="false">SIN($A$10*(23.4393-46.815*L145/3600))*AB145+COS($A$10*(23.4393-46.815*L145/3600))*AC145</f>
        <v>-0.157843035368393</v>
      </c>
      <c r="AF145" s="36" t="n">
        <f aca="false">SQRT(1-AE145*AE145)</f>
        <v>0.987464215141841</v>
      </c>
      <c r="AG145" s="35" t="n">
        <f aca="false">ATAN(AE145/AF145)/$A$10</f>
        <v>-9.08172039272115</v>
      </c>
      <c r="AH145" s="36" t="n">
        <f aca="false">IF(24*ATAN(AD145/(AA145+AF145))/PI()&gt;0,24*ATAN(AD145/(AA145+AF145))/PI(),24*ATAN(AD145/(AA145+AF145))/PI()+24)</f>
        <v>23.3970132899112</v>
      </c>
      <c r="AI145" s="63" t="n">
        <f aca="false">IF(M145-15*AH145&gt;0,M145-15*AH145,360+M145-15*AH145)</f>
        <v>265.622423674053</v>
      </c>
      <c r="AJ145" s="32" t="n">
        <f aca="false">0.950724+0.051818*COS(P145)+0.009531*COS(2*R145-P145)+0.007843*COS(2*R145)+0.002824*COS(2*P145)+0.000857*COS(2*R145+P145)+0.000533*COS(2*R145-Q145)*(1-0.002495*(J145-2415020)/36525)+0.000401*COS(2*R145-Q145-P145)*(1-0.002495*(J145-2415020)/36525)+0.00032*COS(P145-Q145)*(1-0.002495*(J145-2415020)/36525)-0.000271*COS(R145)</f>
        <v>0.955808624688001</v>
      </c>
      <c r="AK145" s="36" t="n">
        <f aca="false">ASIN(COS($A$10*$B$5)*COS($A$10*AG145)*COS($A$10*AI145)+SIN($A$10*$B$5)*SIN($A$10*AG145))/$A$10</f>
        <v>-9.75078151305463</v>
      </c>
      <c r="AL145" s="32" t="n">
        <f aca="false">ASIN((0.9983271+0.0016764*COS($A$10*2*$B$5))*COS($A$10*AK145)*SIN($A$10*AJ145))/$A$10</f>
        <v>0.940149263190555</v>
      </c>
      <c r="AM145" s="32" t="n">
        <f aca="false">AK145-AL145</f>
        <v>-10.6909307762452</v>
      </c>
      <c r="AN145" s="35" t="n">
        <f aca="false"> MOD(280.4664567 + 360007.6982779*L145/10 + 0.03032028*L145^2/100 + L145^3/49931000,360)</f>
        <v>61.5834065108393</v>
      </c>
      <c r="AO145" s="32" t="n">
        <f aca="false"> AN145 + (1.9146 - 0.004817*L145 - 0.000014*L145^2)*SIN(Q145)+ (0.019993 - 0.000101*L145)*SIN(2*Q145)+ 0.00029*SIN(3*Q145)</f>
        <v>62.8377385682385</v>
      </c>
      <c r="AP145" s="32" t="n">
        <f aca="false">ACOS(COS(W145-$A$10*AO145)*COS(Y145))/$A$10</f>
        <v>74.7752161452916</v>
      </c>
      <c r="AQ145" s="34" t="n">
        <f aca="false">180 - AP145 -0.1468*(1-0.0549*SIN(Q145))*SIN($A$10*AP145)/(1-0.0167*SIN($A$10*AO145))</f>
        <v>105.086255015653</v>
      </c>
      <c r="AR145" s="64" t="n">
        <f aca="false">SIN($A$10*AI145)</f>
        <v>-0.997082701159303</v>
      </c>
      <c r="AS145" s="64" t="n">
        <f aca="false">COS($A$10*AI145)*SIN($A$10*$B$5) - TAN($A$10*AG145)*COS($A$10*$B$5)</f>
        <v>0.044276309016376</v>
      </c>
      <c r="AT145" s="24" t="n">
        <f aca="false">IF(OR(AND(AR145*AS145&gt;0), AND(AR145&lt;0,AS145&gt;0)), MOD(ATAN2(AS145,AR145)/$A$10+360,360),  ATAN2(AS145,AR145)/$A$10)</f>
        <v>272.54259767471</v>
      </c>
      <c r="AU145" s="39" t="n">
        <f aca="false"> 385000.56 + (-20905355*COS(P145) - 3699111*COS(2*R145-P145) - 2955968*COS(2*R145) - 569925*COS(2*P145) + (1-0.002516*L145)*48888*COS(Q145) - 3149*COS(2*S145)  +246158*COS(2*R145-2*P145) -(1 - 0.002516*L145)*152138*COS(2*R145-Q145-P145) -170733*COS(2*R145+P145) -(1 - 0.002516*L145)*204586*COS(2*R145-Q145) -(1 - 0.002516*L145)*129620*COS(Q145-P145)  + 108743*COS(R145) +(1-0.002516*L145)*104755*COS(Q145+P145) +10321*COS(2*R145-2*S145) +79661*COS(P145-2*S145) -34782*COS(4*R145-P145) -23210*COS(3*P145)  -21636*COS(4*R145-2*P145) +(1 - 0.002516*L145)*24208*COS(2*R145+Q145-P145) +(1 - 0.002516*L145)*30824*COS(2*R145+Q145) -8379*COS(R145-P145) -(1 - 0.002516*L145)*16675*COS(R145+Q145)  -(1 - 0.002516*L145)*12831*COS(2*R145-Q145+P145) -10445*COS(2*R145+2*P145) -11650*COS(4*R145) +14403*COS(2*R145-3*P145) -(1-0.002516*L145)*7003*COS(Q145-2*P145)  + (1 - 0.002516*L145)*10056*COS(2*R145-Q145-2*P145) +6322*COS(R145+P145) -(1 - 0.002516*L145)*(1-0.002516*L145)*9884*COS(2*R145-2*Q145) +(1-0.002516*L145)*5751*COS(Q145+2*P145) - (1-0.002516*L145)^2*4950*COS(2*R145-2*Q145-P145)  +4130*COS(2*R145+P145-2*S145) -(1-0.002516*L145)*3958*COS(4*R145-Q145-P145) +3258*COS(3*R145-P145) +(1 - 0.002516*L145)*2616*COS(2*R145+Q145+P145) -(1 - 0.002516*L145)*1897*COS(4*R145-Q145-2*P145)  -(1-0.002516*L145)^2*2117*COS(2*Q145-P145) +(1-0.002516*L145)^2*2354*COS(2*R145+2*Q145-P145) -1423*COS(4*R145+P145) -1117*COS(4*P145) -(1-0.002516*L145)*1571*COS(4*R145-Q145)  -1739*COS(R145-2*P145) -4421*COS(2*P145-2*S145) +(1-0.002516*L145)^2*1165*COS(2*Q145+P145) +8752*COS(2*R145-P145-2*S145))/1000</f>
        <v>382220.26636463</v>
      </c>
      <c r="AV145" s="54" t="n">
        <f aca="false">ATAN(0.99664719*TAN($A$10*input!$E$2))</f>
        <v>0.871010436227447</v>
      </c>
      <c r="AW145" s="54" t="n">
        <f aca="false">COS(AV145)</f>
        <v>0.644053912545845</v>
      </c>
      <c r="AX145" s="54" t="n">
        <f aca="false">0.99664719*SIN(AV145)</f>
        <v>0.762415269897027</v>
      </c>
      <c r="AY145" s="54" t="n">
        <f aca="false">6378.14/AU145</f>
        <v>0.0166870795749888</v>
      </c>
      <c r="AZ145" s="55" t="n">
        <f aca="false">M145-15*AH145</f>
        <v>-94.3775763259474</v>
      </c>
      <c r="BA145" s="56" t="n">
        <f aca="false">COS($A$10*AG145)*SIN($A$10*AZ145)</f>
        <v>-0.984583486931778</v>
      </c>
      <c r="BB145" s="56" t="n">
        <f aca="false">COS($A$10*AG145)*COS($A$10*AZ145)-AW145*AY145</f>
        <v>-0.0861193461380297</v>
      </c>
      <c r="BC145" s="56" t="n">
        <f aca="false">SIN($A$10*AG145)-AX145*AY145</f>
        <v>-0.170565519646351</v>
      </c>
      <c r="BD145" s="57" t="n">
        <f aca="false">SQRT(BA145^2+BB145^2+BC145^2)</f>
        <v>1.00295253178314</v>
      </c>
      <c r="BE145" s="58" t="n">
        <f aca="false">AU145*BD145</f>
        <v>383348.783849232</v>
      </c>
    </row>
    <row r="146" customFormat="false" ht="15" hidden="false" customHeight="false" outlineLevel="0" collapsed="false">
      <c r="D146" s="41" t="n">
        <f aca="false">K146-INT(275*E146/9)+IF($A$8="common year",2,1)*INT((E146+9)/12)+30</f>
        <v>25</v>
      </c>
      <c r="E146" s="41" t="n">
        <f aca="false">IF(K146&lt;32,1,INT(9*(IF($A$8="common year",2,1)+K146)/275+0.98))</f>
        <v>5</v>
      </c>
      <c r="F146" s="42" t="n">
        <f aca="false">AM146</f>
        <v>-13.1892905690361</v>
      </c>
      <c r="G146" s="60" t="n">
        <f aca="false">F146+1.02/(TAN($A$10*(F146+10.3/(F146+5.11)))*60)</f>
        <v>-13.2551947538395</v>
      </c>
      <c r="H146" s="43" t="n">
        <f aca="false">100*(1+COS($A$10*AQ146))/2</f>
        <v>27.1015524555083</v>
      </c>
      <c r="I146" s="43" t="n">
        <f aca="false">IF(AI146&gt;180,AT146-180,AT146+180)</f>
        <v>80.3294451752251</v>
      </c>
      <c r="J146" s="61" t="n">
        <f aca="false">$J$2+K145</f>
        <v>2459724.5</v>
      </c>
      <c r="K146" s="21" t="n">
        <v>145</v>
      </c>
      <c r="L146" s="62" t="n">
        <f aca="false">(J146-2451545)/36525</f>
        <v>0.22394250513347</v>
      </c>
      <c r="M146" s="63" t="n">
        <f aca="false">MOD(280.46061837+360.98564736629*(J146-2451545)+0.000387933*L146^2-L146^3/38710000+$B$7,360)</f>
        <v>257.563270393293</v>
      </c>
      <c r="N146" s="30" t="n">
        <f aca="false">0.606433+1336.855225*L146 - INT(0.606433+1336.855225*L146)</f>
        <v>0.985141087268971</v>
      </c>
      <c r="O146" s="35" t="n">
        <f aca="false">22640*SIN(P146)-4586*SIN(P146-2*R146)+2370*SIN(2*R146)+769*SIN(2*P146)-668*SIN(Q146)-412*SIN(2*S146)-212*SIN(2*P146-2*R146)-206*SIN(P146+Q146-2*R146)+192*SIN(P146+2*R146)-165*SIN(Q146-2*R146)-125*SIN(R146)-110*SIN(P146+Q146)+148*SIN(P146-Q146)-55*SIN(2*S146-2*R146)</f>
        <v>23791.4261320117</v>
      </c>
      <c r="P146" s="32" t="n">
        <f aca="false">2*PI()*(0.374897+1325.55241*L146 - INT(0.374897+1325.55241*L146))</f>
        <v>1.39753360334129</v>
      </c>
      <c r="Q146" s="36" t="n">
        <f aca="false">2*PI()*(0.993133+99.997361*L146 - INT(0.993133+99.997361*L146))</f>
        <v>2.430289135617</v>
      </c>
      <c r="R146" s="36" t="n">
        <f aca="false">2*PI()*(0.827361+1236.853086*L146 - INT(0.827361+1236.853086*L146))</f>
        <v>5.09779680820235</v>
      </c>
      <c r="S146" s="36" t="n">
        <f aca="false">2*PI()*(0.259086+1342.227825*L146 - INT(0.259086+1342.227825*L146))</f>
        <v>5.28382954378929</v>
      </c>
      <c r="T146" s="36" t="n">
        <f aca="false">S146+(O146+412*SIN(2*S146)+541*SIN(Q146))/206264.8062</f>
        <v>5.39906855134839</v>
      </c>
      <c r="U146" s="36" t="n">
        <f aca="false">S146-2*R146</f>
        <v>-4.91176407261541</v>
      </c>
      <c r="V146" s="34" t="n">
        <f aca="false">-526*SIN(U146)+44*SIN(P146+U146)-31*SIN(-P146+U146)-23*SIN(Q146+U146)+11*SIN(-Q146+U146)-25*SIN(-2*P146+S146)+21*SIN(-P146+S146)</f>
        <v>-523.65634325747</v>
      </c>
      <c r="W146" s="36" t="n">
        <f aca="false">2*PI()*(N146+O146/1296000-INT(N146+O146/1296000))</f>
        <v>0.0219827866667982</v>
      </c>
      <c r="X146" s="35" t="n">
        <f aca="false">W146*180/PI()</f>
        <v>1.25952089794399</v>
      </c>
      <c r="Y146" s="36" t="n">
        <f aca="false">(18520*SIN(T146)+V146)/206264.8062</f>
        <v>-0.0719763950078828</v>
      </c>
      <c r="Z146" s="36" t="n">
        <f aca="false">Y146*180/PI()</f>
        <v>-4.12394365851817</v>
      </c>
      <c r="AA146" s="36" t="n">
        <f aca="false">COS(Y146)*COS(W146)</f>
        <v>0.997169831216105</v>
      </c>
      <c r="AB146" s="36" t="n">
        <f aca="false">COS(Y146)*SIN(W146)</f>
        <v>0.021924103339799</v>
      </c>
      <c r="AC146" s="36" t="n">
        <f aca="false">SIN(Y146)</f>
        <v>-0.0719142642678794</v>
      </c>
      <c r="AD146" s="36" t="n">
        <f aca="false">COS($A$10*(23.4393-46.815*L146/3600))*AB146-SIN($A$10*(23.4393-46.815*L146/3600))*AC146</f>
        <v>0.0487179215499107</v>
      </c>
      <c r="AE146" s="36" t="n">
        <f aca="false">SIN($A$10*(23.4393-46.815*L146/3600))*AB146+COS($A$10*(23.4393-46.815*L146/3600))*AC146</f>
        <v>-0.0572616087121321</v>
      </c>
      <c r="AF146" s="36" t="n">
        <f aca="false">SQRT(1-AE146*AE146)</f>
        <v>0.998359207984631</v>
      </c>
      <c r="AG146" s="35" t="n">
        <f aca="false">ATAN(AE146/AF146)/$A$10</f>
        <v>-3.28264408253432</v>
      </c>
      <c r="AH146" s="36" t="n">
        <f aca="false">IF(24*ATAN(AD146/(AA146+AF146))/PI()&gt;0,24*ATAN(AD146/(AA146+AF146))/PI(),24*ATAN(AD146/(AA146+AF146))/PI()+24)</f>
        <v>0.186468642053041</v>
      </c>
      <c r="AI146" s="63" t="n">
        <f aca="false">IF(M146-15*AH146&gt;0,M146-15*AH146,360+M146-15*AH146)</f>
        <v>254.766240762498</v>
      </c>
      <c r="AJ146" s="32" t="n">
        <f aca="false">0.950724+0.051818*COS(P146)+0.009531*COS(2*R146-P146)+0.007843*COS(2*R146)+0.002824*COS(2*P146)+0.000857*COS(2*R146+P146)+0.000533*COS(2*R146-Q146)*(1-0.002495*(J146-2415020)/36525)+0.000401*COS(2*R146-Q146-P146)*(1-0.002495*(J146-2415020)/36525)+0.00032*COS(P146-Q146)*(1-0.002495*(J146-2415020)/36525)-0.000271*COS(R146)</f>
        <v>0.944644498603758</v>
      </c>
      <c r="AK146" s="36" t="n">
        <f aca="false">ASIN(COS($A$10*$B$5)*COS($A$10*AG146)*COS($A$10*AI146)+SIN($A$10*$B$5)*SIN($A$10*AG146))/$A$10</f>
        <v>-12.268032667806</v>
      </c>
      <c r="AL146" s="32" t="n">
        <f aca="false">ASIN((0.9983271+0.0016764*COS($A$10*2*$B$5))*COS($A$10*AK146)*SIN($A$10*AJ146))/$A$10</f>
        <v>0.921257901230086</v>
      </c>
      <c r="AM146" s="32" t="n">
        <f aca="false">AK146-AL146</f>
        <v>-13.1892905690361</v>
      </c>
      <c r="AN146" s="35" t="n">
        <f aca="false"> MOD(280.4664567 + 360007.6982779*L146/10 + 0.03032028*L146^2/100 + L146^3/49931000,360)</f>
        <v>62.5690538746621</v>
      </c>
      <c r="AO146" s="32" t="n">
        <f aca="false"> AN146 + (1.9146 - 0.004817*L146 - 0.000014*L146^2)*SIN(Q146)+ (0.019993 - 0.000101*L146)*SIN(2*Q146)+ 0.00029*SIN(3*Q146)</f>
        <v>63.7987354456259</v>
      </c>
      <c r="AP146" s="32" t="n">
        <f aca="false">ACOS(COS(W146-$A$10*AO146)*COS(Y146))/$A$10</f>
        <v>62.6162843555472</v>
      </c>
      <c r="AQ146" s="34" t="n">
        <f aca="false">180 - AP146 -0.1468*(1-0.0549*SIN(Q146))*SIN($A$10*AP146)/(1-0.0167*SIN($A$10*AO146))</f>
        <v>117.256125077178</v>
      </c>
      <c r="AR146" s="64" t="n">
        <f aca="false">SIN($A$10*AI146)</f>
        <v>-0.964861842523783</v>
      </c>
      <c r="AS146" s="64" t="n">
        <f aca="false">COS($A$10*AI146)*SIN($A$10*$B$5) - TAN($A$10*AG146)*COS($A$10*$B$5)</f>
        <v>-0.164416554632661</v>
      </c>
      <c r="AT146" s="24" t="n">
        <f aca="false">IF(OR(AND(AR146*AS146&gt;0), AND(AR146&lt;0,AS146&gt;0)), MOD(ATAN2(AS146,AR146)/$A$10+360,360),  ATAN2(AS146,AR146)/$A$10)</f>
        <v>260.329445175225</v>
      </c>
      <c r="AU146" s="39" t="n">
        <f aca="false"> 385000.56 + (-20905355*COS(P146) - 3699111*COS(2*R146-P146) - 2955968*COS(2*R146) - 569925*COS(2*P146) + (1-0.002516*L146)*48888*COS(Q146) - 3149*COS(2*S146)  +246158*COS(2*R146-2*P146) -(1 - 0.002516*L146)*152138*COS(2*R146-Q146-P146) -170733*COS(2*R146+P146) -(1 - 0.002516*L146)*204586*COS(2*R146-Q146) -(1 - 0.002516*L146)*129620*COS(Q146-P146)  + 108743*COS(R146) +(1-0.002516*L146)*104755*COS(Q146+P146) +10321*COS(2*R146-2*S146) +79661*COS(P146-2*S146) -34782*COS(4*R146-P146) -23210*COS(3*P146)  -21636*COS(4*R146-2*P146) +(1 - 0.002516*L146)*24208*COS(2*R146+Q146-P146) +(1 - 0.002516*L146)*30824*COS(2*R146+Q146) -8379*COS(R146-P146) -(1 - 0.002516*L146)*16675*COS(R146+Q146)  -(1 - 0.002516*L146)*12831*COS(2*R146-Q146+P146) -10445*COS(2*R146+2*P146) -11650*COS(4*R146) +14403*COS(2*R146-3*P146) -(1-0.002516*L146)*7003*COS(Q146-2*P146)  + (1 - 0.002516*L146)*10056*COS(2*R146-Q146-2*P146) +6322*COS(R146+P146) -(1 - 0.002516*L146)*(1-0.002516*L146)*9884*COS(2*R146-2*Q146) +(1-0.002516*L146)*5751*COS(Q146+2*P146) - (1-0.002516*L146)^2*4950*COS(2*R146-2*Q146-P146)  +4130*COS(2*R146+P146-2*S146) -(1-0.002516*L146)*3958*COS(4*R146-Q146-P146) +3258*COS(3*R146-P146) +(1 - 0.002516*L146)*2616*COS(2*R146+Q146+P146) -(1 - 0.002516*L146)*1897*COS(4*R146-Q146-2*P146)  -(1-0.002516*L146)^2*2117*COS(2*Q146-P146) +(1-0.002516*L146)^2*2354*COS(2*R146+2*Q146-P146) -1423*COS(4*R146+P146) -1117*COS(4*P146) -(1-0.002516*L146)*1571*COS(4*R146-Q146)  -1739*COS(R146-2*P146) -4421*COS(2*P146-2*S146) +(1-0.002516*L146)^2*1165*COS(2*Q146+P146) +8752*COS(2*R146-P146-2*S146))/1000</f>
        <v>386719.482429449</v>
      </c>
      <c r="AV146" s="54" t="n">
        <f aca="false">ATAN(0.99664719*TAN($A$10*input!$E$2))</f>
        <v>0.871010436227447</v>
      </c>
      <c r="AW146" s="54" t="n">
        <f aca="false">COS(AV146)</f>
        <v>0.644053912545845</v>
      </c>
      <c r="AX146" s="54" t="n">
        <f aca="false">0.99664719*SIN(AV146)</f>
        <v>0.762415269897027</v>
      </c>
      <c r="AY146" s="54" t="n">
        <f aca="false">6378.14/AU146</f>
        <v>0.0164929368438623</v>
      </c>
      <c r="AZ146" s="55" t="n">
        <f aca="false">M146-15*AH146</f>
        <v>254.766240762498</v>
      </c>
      <c r="BA146" s="56" t="n">
        <f aca="false">COS($A$10*AG146)*SIN($A$10*AZ146)</f>
        <v>-0.963278704916636</v>
      </c>
      <c r="BB146" s="56" t="n">
        <f aca="false">COS($A$10*AG146)*COS($A$10*AZ146)-AW146*AY146</f>
        <v>-0.272948940035291</v>
      </c>
      <c r="BC146" s="56" t="n">
        <f aca="false">SIN($A$10*AG146)-AX146*AY146</f>
        <v>-0.06983607560734</v>
      </c>
      <c r="BD146" s="57" t="n">
        <f aca="false">SQRT(BA146^2+BB146^2+BC146^2)</f>
        <v>1.00363542417976</v>
      </c>
      <c r="BE146" s="58" t="n">
        <f aca="false">AU146*BD146</f>
        <v>388125.371786659</v>
      </c>
    </row>
    <row r="147" customFormat="false" ht="15" hidden="false" customHeight="false" outlineLevel="0" collapsed="false">
      <c r="D147" s="41" t="n">
        <f aca="false">K147-INT(275*E147/9)+IF($A$8="common year",2,1)*INT((E147+9)/12)+30</f>
        <v>26</v>
      </c>
      <c r="E147" s="41" t="n">
        <f aca="false">IF(K147&lt;32,1,INT(9*(IF($A$8="common year",2,1)+K147)/275+0.98))</f>
        <v>5</v>
      </c>
      <c r="F147" s="42" t="n">
        <f aca="false">AM147</f>
        <v>-15.0711317583821</v>
      </c>
      <c r="G147" s="60" t="n">
        <f aca="false">F147+1.02/(TAN($A$10*(F147+10.3/(F147+5.11)))*60)</f>
        <v>-15.1300097735232</v>
      </c>
      <c r="H147" s="43" t="n">
        <f aca="false">100*(1+COS($A$10*AQ147))/2</f>
        <v>18.4260585615057</v>
      </c>
      <c r="I147" s="43" t="n">
        <f aca="false">IF(AI147&gt;180,AT147-180,AT147+180)</f>
        <v>68.1795233832014</v>
      </c>
      <c r="J147" s="61" t="n">
        <f aca="false">$J$2+K146</f>
        <v>2459725.5</v>
      </c>
      <c r="K147" s="21" t="n">
        <v>146</v>
      </c>
      <c r="L147" s="62" t="n">
        <f aca="false">(J147-2451545)/36525</f>
        <v>0.223969883641342</v>
      </c>
      <c r="M147" s="63" t="n">
        <f aca="false">MOD(280.46061837+360.98564736629*(J147-2451545)+0.000387933*L147^2-L147^3/38710000+$B$7,360)</f>
        <v>258.548917764332</v>
      </c>
      <c r="N147" s="30" t="n">
        <f aca="false">0.606433+1336.855225*L147 - INT(0.606433+1336.855225*L147)</f>
        <v>0.0217421885694762</v>
      </c>
      <c r="O147" s="35" t="n">
        <f aca="false">22640*SIN(P147)-4586*SIN(P147-2*R147)+2370*SIN(2*R147)+769*SIN(2*P147)-668*SIN(Q147)-412*SIN(2*S147)-212*SIN(2*P147-2*R147)-206*SIN(P147+Q147-2*R147)+192*SIN(P147+2*R147)-165*SIN(Q147-2*R147)-125*SIN(R147)-110*SIN(P147+Q147)+148*SIN(P147-Q147)-55*SIN(2*S147-2*R147)</f>
        <v>22608.3408125366</v>
      </c>
      <c r="P147" s="32" t="n">
        <f aca="false">2*PI()*(0.374897+1325.55241*L147 - INT(0.374897+1325.55241*L147))</f>
        <v>1.62556074711711</v>
      </c>
      <c r="Q147" s="36" t="n">
        <f aca="false">2*PI()*(0.993133+99.997361*L147 - INT(0.993133+99.997361*L147))</f>
        <v>2.44749110548399</v>
      </c>
      <c r="R147" s="36" t="n">
        <f aca="false">2*PI()*(0.827361+1236.853086*L147 - INT(0.827361+1236.853086*L147))</f>
        <v>5.31056551832138</v>
      </c>
      <c r="S147" s="36" t="n">
        <f aca="false">2*PI()*(0.259086+1342.227825*L147 - INT(0.259086+1342.227825*L147))</f>
        <v>5.5147252631303</v>
      </c>
      <c r="T147" s="36" t="n">
        <f aca="false">S147+(O147+412*SIN(2*S147)+541*SIN(Q147))/206264.8062</f>
        <v>5.62401512537903</v>
      </c>
      <c r="U147" s="36" t="n">
        <f aca="false">S147-2*R147</f>
        <v>-5.10640577351246</v>
      </c>
      <c r="V147" s="34" t="n">
        <f aca="false">-526*SIN(U147)+44*SIN(P147+U147)-31*SIN(-P147+U147)-23*SIN(Q147+U147)+11*SIN(-Q147+U147)-25*SIN(-2*P147+S147)+21*SIN(-P147+S147)</f>
        <v>-490.949022611732</v>
      </c>
      <c r="W147" s="36" t="n">
        <f aca="false">2*PI()*(N147+O147/1296000-INT(N147+O147/1296000))</f>
        <v>0.246218529096709</v>
      </c>
      <c r="X147" s="35" t="n">
        <f aca="false">W147*180/PI()</f>
        <v>14.1072825551605</v>
      </c>
      <c r="Y147" s="36" t="n">
        <f aca="false">(18520*SIN(T147)+V147)/206264.8062</f>
        <v>-0.0573715344190336</v>
      </c>
      <c r="Z147" s="36" t="n">
        <f aca="false">Y147*180/PI()</f>
        <v>-3.28714678640016</v>
      </c>
      <c r="AA147" s="36" t="n">
        <f aca="false">COS(Y147)*COS(W147)</f>
        <v>0.968245368138338</v>
      </c>
      <c r="AB147" s="36" t="n">
        <f aca="false">COS(Y147)*SIN(W147)</f>
        <v>0.243337263568883</v>
      </c>
      <c r="AC147" s="36" t="n">
        <f aca="false">SIN(Y147)</f>
        <v>-0.0573400665979963</v>
      </c>
      <c r="AD147" s="36" t="n">
        <f aca="false">COS($A$10*(23.4393-46.815*L147/3600))*AB147-SIN($A$10*(23.4393-46.815*L147/3600))*AC147</f>
        <v>0.246068381900987</v>
      </c>
      <c r="AE147" s="36" t="n">
        <f aca="false">SIN($A$10*(23.4393-46.815*L147/3600))*AB147+COS($A$10*(23.4393-46.815*L147/3600))*AC147</f>
        <v>0.0441730518221785</v>
      </c>
      <c r="AF147" s="36" t="n">
        <f aca="false">SQRT(1-AE147*AE147)</f>
        <v>0.999023894355243</v>
      </c>
      <c r="AG147" s="35" t="n">
        <f aca="false">ATAN(AE147/AF147)/$A$10</f>
        <v>2.53175324411819</v>
      </c>
      <c r="AH147" s="36" t="n">
        <f aca="false">IF(24*ATAN(AD147/(AA147+AF147))/PI()&gt;0,24*ATAN(AD147/(AA147+AF147))/PI(),24*ATAN(AD147/(AA147+AF147))/PI()+24)</f>
        <v>0.950612883143855</v>
      </c>
      <c r="AI147" s="63" t="n">
        <f aca="false">IF(M147-15*AH147&gt;0,M147-15*AH147,360+M147-15*AH147)</f>
        <v>244.289724517174</v>
      </c>
      <c r="AJ147" s="32" t="n">
        <f aca="false">0.950724+0.051818*COS(P147)+0.009531*COS(2*R147-P147)+0.007843*COS(2*R147)+0.002824*COS(2*P147)+0.000857*COS(2*R147+P147)+0.000533*COS(2*R147-Q147)*(1-0.002495*(J147-2415020)/36525)+0.000401*COS(2*R147-Q147-P147)*(1-0.002495*(J147-2415020)/36525)+0.00032*COS(P147-Q147)*(1-0.002495*(J147-2415020)/36525)-0.000271*COS(R147)</f>
        <v>0.93464246448534</v>
      </c>
      <c r="AK147" s="36" t="n">
        <f aca="false">ASIN(COS($A$10*$B$5)*COS($A$10*AG147)*COS($A$10*AI147)+SIN($A$10*$B$5)*SIN($A$10*AG147))/$A$10</f>
        <v>-14.1666962184176</v>
      </c>
      <c r="AL147" s="32" t="n">
        <f aca="false">ASIN((0.9983271+0.0016764*COS($A$10*2*$B$5))*COS($A$10*AK147)*SIN($A$10*AJ147))/$A$10</f>
        <v>0.904435539964517</v>
      </c>
      <c r="AM147" s="32" t="n">
        <f aca="false">AK147-AL147</f>
        <v>-15.0711317583821</v>
      </c>
      <c r="AN147" s="35" t="n">
        <f aca="false"> MOD(280.4664567 + 360007.6982779*L147/10 + 0.03032028*L147^2/100 + L147^3/49931000,360)</f>
        <v>63.5547012384832</v>
      </c>
      <c r="AO147" s="32" t="n">
        <f aca="false"> AN147 + (1.9146 - 0.004817*L147 - 0.000014*L147^2)*SIN(Q147)+ (0.019993 - 0.000101*L147)*SIN(2*Q147)+ 0.00029*SIN(3*Q147)</f>
        <v>64.7593854144167</v>
      </c>
      <c r="AP147" s="32" t="n">
        <f aca="false">ACOS(COS(W147-$A$10*AO147)*COS(Y147))/$A$10</f>
        <v>50.7293497231925</v>
      </c>
      <c r="AQ147" s="34" t="n">
        <f aca="false">180 - AP147 -0.1468*(1-0.0549*SIN(Q147))*SIN($A$10*AP147)/(1-0.0167*SIN($A$10*AO147))</f>
        <v>129.159312307934</v>
      </c>
      <c r="AR147" s="64" t="n">
        <f aca="false">SIN($A$10*AI147)</f>
        <v>-0.900999233974591</v>
      </c>
      <c r="AS147" s="64" t="n">
        <f aca="false">COS($A$10*AI147)*SIN($A$10*$B$5) - TAN($A$10*AG147)*COS($A$10*$B$5)</f>
        <v>-0.360747552351641</v>
      </c>
      <c r="AT147" s="24" t="n">
        <f aca="false">IF(OR(AND(AR147*AS147&gt;0), AND(AR147&lt;0,AS147&gt;0)), MOD(ATAN2(AS147,AR147)/$A$10+360,360),  ATAN2(AS147,AR147)/$A$10)</f>
        <v>248.179523383201</v>
      </c>
      <c r="AU147" s="39" t="n">
        <f aca="false"> 385000.56 + (-20905355*COS(P147) - 3699111*COS(2*R147-P147) - 2955968*COS(2*R147) - 569925*COS(2*P147) + (1-0.002516*L147)*48888*COS(Q147) - 3149*COS(2*S147)  +246158*COS(2*R147-2*P147) -(1 - 0.002516*L147)*152138*COS(2*R147-Q147-P147) -170733*COS(2*R147+P147) -(1 - 0.002516*L147)*204586*COS(2*R147-Q147) -(1 - 0.002516*L147)*129620*COS(Q147-P147)  + 108743*COS(R147) +(1-0.002516*L147)*104755*COS(Q147+P147) +10321*COS(2*R147-2*S147) +79661*COS(P147-2*S147) -34782*COS(4*R147-P147) -23210*COS(3*P147)  -21636*COS(4*R147-2*P147) +(1 - 0.002516*L147)*24208*COS(2*R147+Q147-P147) +(1 - 0.002516*L147)*30824*COS(2*R147+Q147) -8379*COS(R147-P147) -(1 - 0.002516*L147)*16675*COS(R147+Q147)  -(1 - 0.002516*L147)*12831*COS(2*R147-Q147+P147) -10445*COS(2*R147+2*P147) -11650*COS(4*R147) +14403*COS(2*R147-3*P147) -(1-0.002516*L147)*7003*COS(Q147-2*P147)  + (1 - 0.002516*L147)*10056*COS(2*R147-Q147-2*P147) +6322*COS(R147+P147) -(1 - 0.002516*L147)*(1-0.002516*L147)*9884*COS(2*R147-2*Q147) +(1-0.002516*L147)*5751*COS(Q147+2*P147) - (1-0.002516*L147)^2*4950*COS(2*R147-2*Q147-P147)  +4130*COS(2*R147+P147-2*S147) -(1-0.002516*L147)*3958*COS(4*R147-Q147-P147) +3258*COS(3*R147-P147) +(1 - 0.002516*L147)*2616*COS(2*R147+Q147+P147) -(1 - 0.002516*L147)*1897*COS(4*R147-Q147-2*P147)  -(1-0.002516*L147)^2*2117*COS(2*Q147-P147) +(1-0.002516*L147)^2*2354*COS(2*R147+2*Q147-P147) -1423*COS(4*R147+P147) -1117*COS(4*P147) -(1-0.002516*L147)*1571*COS(4*R147-Q147)  -1739*COS(R147-2*P147) -4421*COS(2*P147-2*S147) +(1-0.002516*L147)^2*1165*COS(2*Q147+P147) +8752*COS(2*R147-P147-2*S147))/1000</f>
        <v>390860.917434259</v>
      </c>
      <c r="AV147" s="54" t="n">
        <f aca="false">ATAN(0.99664719*TAN($A$10*input!$E$2))</f>
        <v>0.871010436227447</v>
      </c>
      <c r="AW147" s="54" t="n">
        <f aca="false">COS(AV147)</f>
        <v>0.644053912545845</v>
      </c>
      <c r="AX147" s="54" t="n">
        <f aca="false">0.99664719*SIN(AV147)</f>
        <v>0.762415269897027</v>
      </c>
      <c r="AY147" s="54" t="n">
        <f aca="false">6378.14/AU147</f>
        <v>0.0163181830556716</v>
      </c>
      <c r="AZ147" s="55" t="n">
        <f aca="false">M147-15*AH147</f>
        <v>244.289724517174</v>
      </c>
      <c r="BA147" s="56" t="n">
        <f aca="false">COS($A$10*AG147)*SIN($A$10*AZ147)</f>
        <v>-0.900119763536387</v>
      </c>
      <c r="BB147" s="56" t="n">
        <f aca="false">COS($A$10*AG147)*COS($A$10*AZ147)-AW147*AY147</f>
        <v>-0.443907012503976</v>
      </c>
      <c r="BC147" s="56" t="n">
        <f aca="false">SIN($A$10*AG147)-AX147*AY147</f>
        <v>0.0317318198835595</v>
      </c>
      <c r="BD147" s="57" t="n">
        <f aca="false">SQRT(BA147^2+BB147^2+BC147^2)</f>
        <v>1.00412944028752</v>
      </c>
      <c r="BE147" s="58" t="n">
        <f aca="false">AU147*BD147</f>
        <v>392474.954253529</v>
      </c>
    </row>
    <row r="148" customFormat="false" ht="15" hidden="false" customHeight="false" outlineLevel="0" collapsed="false">
      <c r="D148" s="41" t="n">
        <f aca="false">K148-INT(275*E148/9)+IF($A$8="common year",2,1)*INT((E148+9)/12)+30</f>
        <v>27</v>
      </c>
      <c r="E148" s="41" t="n">
        <f aca="false">IF(K148&lt;32,1,INT(9*(IF($A$8="common year",2,1)+K148)/275+0.98))</f>
        <v>5</v>
      </c>
      <c r="F148" s="42" t="n">
        <f aca="false">AM148</f>
        <v>-16.3284637729257</v>
      </c>
      <c r="G148" s="60" t="n">
        <f aca="false">F148+1.02/(TAN($A$10*(F148+10.3/(F148+5.11)))*60)</f>
        <v>-16.3832242177362</v>
      </c>
      <c r="H148" s="43" t="n">
        <f aca="false">100*(1+COS($A$10*AQ148))/2</f>
        <v>11.2364438802074</v>
      </c>
      <c r="I148" s="43" t="n">
        <f aca="false">IF(AI148&gt;180,AT148-180,AT148+180)</f>
        <v>56.1034774232952</v>
      </c>
      <c r="J148" s="61" t="n">
        <f aca="false">$J$2+K147</f>
        <v>2459726.5</v>
      </c>
      <c r="K148" s="21" t="n">
        <v>147</v>
      </c>
      <c r="L148" s="62" t="n">
        <f aca="false">(J148-2451545)/36525</f>
        <v>0.223997262149213</v>
      </c>
      <c r="M148" s="63" t="n">
        <f aca="false">MOD(280.46061837+360.98564736629*(J148-2451545)+0.000387933*L148^2-L148^3/38710000+$B$7,360)</f>
        <v>259.534565135837</v>
      </c>
      <c r="N148" s="30" t="n">
        <f aca="false">0.606433+1336.855225*L148 - INT(0.606433+1336.855225*L148)</f>
        <v>0.0583432898699243</v>
      </c>
      <c r="O148" s="35" t="n">
        <f aca="false">22640*SIN(P148)-4586*SIN(P148-2*R148)+2370*SIN(2*R148)+769*SIN(2*P148)-668*SIN(Q148)-412*SIN(2*S148)-212*SIN(2*P148-2*R148)-206*SIN(P148+Q148-2*R148)+192*SIN(P148+2*R148)-165*SIN(Q148-2*R148)-125*SIN(R148)-110*SIN(P148+Q148)+148*SIN(P148-Q148)-55*SIN(2*S148-2*R148)</f>
        <v>20497.2614181903</v>
      </c>
      <c r="P148" s="32" t="n">
        <f aca="false">2*PI()*(0.374897+1325.55241*L148 - INT(0.374897+1325.55241*L148))</f>
        <v>1.85358789089293</v>
      </c>
      <c r="Q148" s="36" t="n">
        <f aca="false">2*PI()*(0.993133+99.997361*L148 - INT(0.993133+99.997361*L148))</f>
        <v>2.464693075351</v>
      </c>
      <c r="R148" s="36" t="n">
        <f aca="false">2*PI()*(0.827361+1236.853086*L148 - INT(0.827361+1236.853086*L148))</f>
        <v>5.5233342284404</v>
      </c>
      <c r="S148" s="36" t="n">
        <f aca="false">2*PI()*(0.259086+1342.227825*L148 - INT(0.259086+1342.227825*L148))</f>
        <v>5.7456209824713</v>
      </c>
      <c r="T148" s="36" t="n">
        <f aca="false">S148+(O148+412*SIN(2*S148)+541*SIN(Q148))/206264.8062</f>
        <v>5.84488035972211</v>
      </c>
      <c r="U148" s="36" t="n">
        <f aca="false">S148-2*R148</f>
        <v>-5.3010474744095</v>
      </c>
      <c r="V148" s="34" t="n">
        <f aca="false">-526*SIN(U148)+44*SIN(P148+U148)-31*SIN(-P148+U148)-23*SIN(Q148+U148)+11*SIN(-Q148+U148)-25*SIN(-2*P148+S148)+21*SIN(-P148+S148)</f>
        <v>-441.176730444818</v>
      </c>
      <c r="W148" s="36" t="n">
        <f aca="false">2*PI()*(N148+O148/1296000-INT(N148+O148/1296000))</f>
        <v>0.465955229291401</v>
      </c>
      <c r="X148" s="35" t="n">
        <f aca="false">W148*180/PI()</f>
        <v>26.6972680804478</v>
      </c>
      <c r="Y148" s="36" t="n">
        <f aca="false">(18520*SIN(T148)+V148)/206264.8062</f>
        <v>-0.0402451690899331</v>
      </c>
      <c r="Z148" s="36" t="n">
        <f aca="false">Y148*180/PI()</f>
        <v>-2.30587833464353</v>
      </c>
      <c r="AA148" s="36" t="n">
        <f aca="false">COS(Y148)*COS(W148)</f>
        <v>0.892669406544236</v>
      </c>
      <c r="AB148" s="36" t="n">
        <f aca="false">COS(Y148)*SIN(W148)</f>
        <v>0.448912609806881</v>
      </c>
      <c r="AC148" s="36" t="n">
        <f aca="false">SIN(Y148)</f>
        <v>-0.0402343059631541</v>
      </c>
      <c r="AD148" s="36" t="n">
        <f aca="false">COS($A$10*(23.4393-46.815*L148/3600))*AB148-SIN($A$10*(23.4393-46.815*L148/3600))*AC148</f>
        <v>0.427880733791827</v>
      </c>
      <c r="AE148" s="36" t="n">
        <f aca="false">SIN($A$10*(23.4393-46.815*L148/3600))*AB148+COS($A$10*(23.4393-46.815*L148/3600))*AC148</f>
        <v>0.141631240444081</v>
      </c>
      <c r="AF148" s="36" t="n">
        <f aca="false">SQRT(1-AE148*AE148)</f>
        <v>0.989919487498994</v>
      </c>
      <c r="AG148" s="35" t="n">
        <f aca="false">ATAN(AE148/AF148)/$A$10</f>
        <v>8.1422501066627</v>
      </c>
      <c r="AH148" s="36" t="n">
        <f aca="false">IF(24*ATAN(AD148/(AA148+AF148))/PI()&gt;0,24*ATAN(AD148/(AA148+AF148))/PI(),24*ATAN(AD148/(AA148+AF148))/PI()+24)</f>
        <v>1.70731118740106</v>
      </c>
      <c r="AI148" s="63" t="n">
        <f aca="false">IF(M148-15*AH148&gt;0,M148-15*AH148,360+M148-15*AH148)</f>
        <v>233.924897324821</v>
      </c>
      <c r="AJ148" s="32" t="n">
        <f aca="false">0.950724+0.051818*COS(P148)+0.009531*COS(2*R148-P148)+0.007843*COS(2*R148)+0.002824*COS(2*P148)+0.000857*COS(2*R148+P148)+0.000533*COS(2*R148-Q148)*(1-0.002495*(J148-2415020)/36525)+0.000401*COS(2*R148-Q148-P148)*(1-0.002495*(J148-2415020)/36525)+0.00032*COS(P148-Q148)*(1-0.002495*(J148-2415020)/36525)-0.000271*COS(R148)</f>
        <v>0.925886592215216</v>
      </c>
      <c r="AK148" s="36" t="n">
        <f aca="false">ASIN(COS($A$10*$B$5)*COS($A$10*AG148)*COS($A$10*AI148)+SIN($A$10*$B$5)*SIN($A$10*AG148))/$A$10</f>
        <v>-15.4377386312997</v>
      </c>
      <c r="AL148" s="32" t="n">
        <f aca="false">ASIN((0.9983271+0.0016764*COS($A$10*2*$B$5))*COS($A$10*AK148)*SIN($A$10*AJ148))/$A$10</f>
        <v>0.890725141626007</v>
      </c>
      <c r="AM148" s="32" t="n">
        <f aca="false">AK148-AL148</f>
        <v>-16.3284637729257</v>
      </c>
      <c r="AN148" s="35" t="n">
        <f aca="false"> MOD(280.4664567 + 360007.6982779*L148/10 + 0.03032028*L148^2/100 + L148^3/49931000,360)</f>
        <v>64.5403486023079</v>
      </c>
      <c r="AO148" s="32" t="n">
        <f aca="false"> AN148 + (1.9146 - 0.004817*L148 - 0.000014*L148^2)*SIN(Q148)+ (0.019993 - 0.000101*L148)*SIN(2*Q148)+ 0.00029*SIN(3*Q148)</f>
        <v>65.7196957528737</v>
      </c>
      <c r="AP148" s="32" t="n">
        <f aca="false">ACOS(COS(W148-$A$10*AO148)*COS(Y148))/$A$10</f>
        <v>39.0796383866155</v>
      </c>
      <c r="AQ148" s="34" t="n">
        <f aca="false">180 - AP148 -0.1468*(1-0.0549*SIN(Q148))*SIN($A$10*AP148)/(1-0.0167*SIN($A$10*AO148))</f>
        <v>140.829619933594</v>
      </c>
      <c r="AR148" s="64" t="n">
        <f aca="false">SIN($A$10*AI148)</f>
        <v>-0.808245837163317</v>
      </c>
      <c r="AS148" s="64" t="n">
        <f aca="false">COS($A$10*AI148)*SIN($A$10*$B$5) - TAN($A$10*AG148)*COS($A$10*$B$5)</f>
        <v>-0.543047461060456</v>
      </c>
      <c r="AT148" s="24" t="n">
        <f aca="false">IF(OR(AND(AR148*AS148&gt;0), AND(AR148&lt;0,AS148&gt;0)), MOD(ATAN2(AS148,AR148)/$A$10+360,360),  ATAN2(AS148,AR148)/$A$10)</f>
        <v>236.103477423295</v>
      </c>
      <c r="AU148" s="39" t="n">
        <f aca="false"> 385000.56 + (-20905355*COS(P148) - 3699111*COS(2*R148-P148) - 2955968*COS(2*R148) - 569925*COS(2*P148) + (1-0.002516*L148)*48888*COS(Q148) - 3149*COS(2*S148)  +246158*COS(2*R148-2*P148) -(1 - 0.002516*L148)*152138*COS(2*R148-Q148-P148) -170733*COS(2*R148+P148) -(1 - 0.002516*L148)*204586*COS(2*R148-Q148) -(1 - 0.002516*L148)*129620*COS(Q148-P148)  + 108743*COS(R148) +(1-0.002516*L148)*104755*COS(Q148+P148) +10321*COS(2*R148-2*S148) +79661*COS(P148-2*S148) -34782*COS(4*R148-P148) -23210*COS(3*P148)  -21636*COS(4*R148-2*P148) +(1 - 0.002516*L148)*24208*COS(2*R148+Q148-P148) +(1 - 0.002516*L148)*30824*COS(2*R148+Q148) -8379*COS(R148-P148) -(1 - 0.002516*L148)*16675*COS(R148+Q148)  -(1 - 0.002516*L148)*12831*COS(2*R148-Q148+P148) -10445*COS(2*R148+2*P148) -11650*COS(4*R148) +14403*COS(2*R148-3*P148) -(1-0.002516*L148)*7003*COS(Q148-2*P148)  + (1 - 0.002516*L148)*10056*COS(2*R148-Q148-2*P148) +6322*COS(R148+P148) -(1 - 0.002516*L148)*(1-0.002516*L148)*9884*COS(2*R148-2*Q148) +(1-0.002516*L148)*5751*COS(Q148+2*P148) - (1-0.002516*L148)^2*4950*COS(2*R148-2*Q148-P148)  +4130*COS(2*R148+P148-2*S148) -(1-0.002516*L148)*3958*COS(4*R148-Q148-P148) +3258*COS(3*R148-P148) +(1 - 0.002516*L148)*2616*COS(2*R148+Q148+P148) -(1 - 0.002516*L148)*1897*COS(4*R148-Q148-2*P148)  -(1-0.002516*L148)^2*2117*COS(2*Q148-P148) +(1-0.002516*L148)^2*2354*COS(2*R148+2*Q148-P148) -1423*COS(4*R148+P148) -1117*COS(4*P148) -(1-0.002516*L148)*1571*COS(4*R148-Q148)  -1739*COS(R148-2*P148) -4421*COS(2*P148-2*S148) +(1-0.002516*L148)^2*1165*COS(2*Q148+P148) +8752*COS(2*R148-P148-2*S148))/1000</f>
        <v>394573.440732082</v>
      </c>
      <c r="AV148" s="54" t="n">
        <f aca="false">ATAN(0.99664719*TAN($A$10*input!$E$2))</f>
        <v>0.871010436227447</v>
      </c>
      <c r="AW148" s="54" t="n">
        <f aca="false">COS(AV148)</f>
        <v>0.644053912545845</v>
      </c>
      <c r="AX148" s="54" t="n">
        <f aca="false">0.99664719*SIN(AV148)</f>
        <v>0.762415269897027</v>
      </c>
      <c r="AY148" s="54" t="n">
        <f aca="false">6378.14/AU148</f>
        <v>0.0161646460242386</v>
      </c>
      <c r="AZ148" s="55" t="n">
        <f aca="false">M148-15*AH148</f>
        <v>233.924897324821</v>
      </c>
      <c r="BA148" s="56" t="n">
        <f aca="false">COS($A$10*AG148)*SIN($A$10*AZ148)</f>
        <v>-0.800098304897906</v>
      </c>
      <c r="BB148" s="56" t="n">
        <f aca="false">COS($A$10*AG148)*COS($A$10*AZ148)-AW148*AY148</f>
        <v>-0.593320239717382</v>
      </c>
      <c r="BC148" s="56" t="n">
        <f aca="false">SIN($A$10*AG148)-AX148*AY148</f>
        <v>0.129307067482722</v>
      </c>
      <c r="BD148" s="57" t="n">
        <f aca="false">SQRT(BA148^2+BB148^2+BC148^2)</f>
        <v>1.0044433891762</v>
      </c>
      <c r="BE148" s="58" t="n">
        <f aca="false">AU148*BD148</f>
        <v>396326.684087847</v>
      </c>
    </row>
    <row r="149" customFormat="false" ht="15" hidden="false" customHeight="false" outlineLevel="0" collapsed="false">
      <c r="D149" s="41" t="n">
        <f aca="false">K149-INT(275*E149/9)+IF($A$8="common year",2,1)*INT((E149+9)/12)+30</f>
        <v>28</v>
      </c>
      <c r="E149" s="41" t="n">
        <f aca="false">IF(K149&lt;32,1,INT(9*(IF($A$8="common year",2,1)+K149)/275+0.98))</f>
        <v>5</v>
      </c>
      <c r="F149" s="42" t="n">
        <f aca="false">AM149</f>
        <v>-16.977565265048</v>
      </c>
      <c r="G149" s="60" t="n">
        <f aca="false">F149+1.02/(TAN($A$10*(F149+10.3/(F149+5.11)))*60)</f>
        <v>-17.030370030097</v>
      </c>
      <c r="H149" s="43" t="n">
        <f aca="false">100*(1+COS($A$10*AQ149))/2</f>
        <v>5.73209159144323</v>
      </c>
      <c r="I149" s="43" t="n">
        <f aca="false">IF(AI149&gt;180,AT149-180,AT149+180)</f>
        <v>44.1309903902966</v>
      </c>
      <c r="J149" s="61" t="n">
        <f aca="false">$J$2+K148</f>
        <v>2459727.5</v>
      </c>
      <c r="K149" s="21" t="n">
        <v>148</v>
      </c>
      <c r="L149" s="62" t="n">
        <f aca="false">(J149-2451545)/36525</f>
        <v>0.224024640657084</v>
      </c>
      <c r="M149" s="63" t="n">
        <f aca="false">MOD(280.46061837+360.98564736629*(J149-2451545)+0.000387933*L149^2-L149^3/38710000+$B$7,360)</f>
        <v>260.520212506875</v>
      </c>
      <c r="N149" s="30" t="n">
        <f aca="false">0.606433+1336.855225*L149 - INT(0.606433+1336.855225*L149)</f>
        <v>0.0949443911704293</v>
      </c>
      <c r="O149" s="35" t="n">
        <f aca="false">22640*SIN(P149)-4586*SIN(P149-2*R149)+2370*SIN(2*R149)+769*SIN(2*P149)-668*SIN(Q149)-412*SIN(2*S149)-212*SIN(2*P149-2*R149)-206*SIN(P149+Q149-2*R149)+192*SIN(P149+2*R149)-165*SIN(Q149-2*R149)-125*SIN(R149)-110*SIN(P149+Q149)+148*SIN(P149-Q149)-55*SIN(2*S149-2*R149)</f>
        <v>17594.894950624</v>
      </c>
      <c r="P149" s="32" t="n">
        <f aca="false">2*PI()*(0.374897+1325.55241*L149 - INT(0.374897+1325.55241*L149))</f>
        <v>2.08161503466839</v>
      </c>
      <c r="Q149" s="36" t="n">
        <f aca="false">2*PI()*(0.993133+99.997361*L149 - INT(0.993133+99.997361*L149))</f>
        <v>2.48189504521798</v>
      </c>
      <c r="R149" s="36" t="n">
        <f aca="false">2*PI()*(0.827361+1236.853086*L149 - INT(0.827361+1236.853086*L149))</f>
        <v>5.73610293855943</v>
      </c>
      <c r="S149" s="36" t="n">
        <f aca="false">2*PI()*(0.259086+1342.227825*L149 - INT(0.259086+1342.227825*L149))</f>
        <v>5.97651670181231</v>
      </c>
      <c r="T149" s="36" t="n">
        <f aca="false">S149+(O149+412*SIN(2*S149)+541*SIN(Q149))/206264.8062</f>
        <v>6.06227692045488</v>
      </c>
      <c r="U149" s="36" t="n">
        <f aca="false">S149-2*R149</f>
        <v>-5.49568917530654</v>
      </c>
      <c r="V149" s="34" t="n">
        <f aca="false">-526*SIN(U149)+44*SIN(P149+U149)-31*SIN(-P149+U149)-23*SIN(Q149+U149)+11*SIN(-Q149+U149)-25*SIN(-2*P149+S149)+21*SIN(-P149+S149)</f>
        <v>-377.673731006607</v>
      </c>
      <c r="W149" s="36" t="n">
        <f aca="false">2*PI()*(N149+O149/1296000-INT(N149+O149/1296000))</f>
        <v>0.681855661498629</v>
      </c>
      <c r="X149" s="35" t="n">
        <f aca="false">W149*180/PI()</f>
        <v>39.0674516409723</v>
      </c>
      <c r="Y149" s="36" t="n">
        <f aca="false">(18520*SIN(T149)+V149)/206264.8062</f>
        <v>-0.0215048926648752</v>
      </c>
      <c r="Z149" s="36" t="n">
        <f aca="false">Y149*180/PI()</f>
        <v>-1.23213958857919</v>
      </c>
      <c r="AA149" s="36" t="n">
        <f aca="false">COS(Y149)*COS(W149)</f>
        <v>0.776225032372883</v>
      </c>
      <c r="AB149" s="36" t="n">
        <f aca="false">COS(Y149)*SIN(W149)</f>
        <v>0.630089128611714</v>
      </c>
      <c r="AC149" s="36" t="n">
        <f aca="false">SIN(Y149)</f>
        <v>-0.0215032351762939</v>
      </c>
      <c r="AD149" s="36" t="n">
        <f aca="false">COS($A$10*(23.4393-46.815*L149/3600))*AB149-SIN($A$10*(23.4393-46.815*L149/3600))*AC149</f>
        <v>0.586660672789349</v>
      </c>
      <c r="AE149" s="36" t="n">
        <f aca="false">SIN($A$10*(23.4393-46.815*L149/3600))*AB149+COS($A$10*(23.4393-46.815*L149/3600))*AC149</f>
        <v>0.230876491051093</v>
      </c>
      <c r="AF149" s="36" t="n">
        <f aca="false">SQRT(1-AE149*AE149)</f>
        <v>0.972983065566886</v>
      </c>
      <c r="AG149" s="35" t="n">
        <f aca="false">ATAN(AE149/AF149)/$A$10</f>
        <v>13.3486799204759</v>
      </c>
      <c r="AH149" s="36" t="n">
        <f aca="false">IF(24*ATAN(AD149/(AA149+AF149))/PI()&gt;0,24*ATAN(AD149/(AA149+AF149))/PI(),24*ATAN(AD149/(AA149+AF149))/PI()+24)</f>
        <v>2.4721005770666</v>
      </c>
      <c r="AI149" s="63" t="n">
        <f aca="false">IF(M149-15*AH149&gt;0,M149-15*AH149,360+M149-15*AH149)</f>
        <v>223.438703850876</v>
      </c>
      <c r="AJ149" s="32" t="n">
        <f aca="false">0.950724+0.051818*COS(P149)+0.009531*COS(2*R149-P149)+0.007843*COS(2*R149)+0.002824*COS(2*P149)+0.000857*COS(2*R149+P149)+0.000533*COS(2*R149-Q149)*(1-0.002495*(J149-2415020)/36525)+0.000401*COS(2*R149-Q149-P149)*(1-0.002495*(J149-2415020)/36525)+0.00032*COS(P149-Q149)*(1-0.002495*(J149-2415020)/36525)-0.000271*COS(R149)</f>
        <v>0.918365910661693</v>
      </c>
      <c r="AK149" s="36" t="n">
        <f aca="false">ASIN(COS($A$10*$B$5)*COS($A$10*AG149)*COS($A$10*AI149)+SIN($A$10*$B$5)*SIN($A$10*AG149))/$A$10</f>
        <v>-16.0969408405302</v>
      </c>
      <c r="AL149" s="32" t="n">
        <f aca="false">ASIN((0.9983271+0.0016764*COS($A$10*2*$B$5))*COS($A$10*AK149)*SIN($A$10*AJ149))/$A$10</f>
        <v>0.880624424517799</v>
      </c>
      <c r="AM149" s="32" t="n">
        <f aca="false">AK149-AL149</f>
        <v>-16.977565265048</v>
      </c>
      <c r="AN149" s="35" t="n">
        <f aca="false"> MOD(280.4664567 + 360007.6982779*L149/10 + 0.03032028*L149^2/100 + L149^3/49931000,360)</f>
        <v>65.5259959661307</v>
      </c>
      <c r="AO149" s="32" t="n">
        <f aca="false"> AN149 + (1.9146 - 0.004817*L149 - 0.000014*L149^2)*SIN(Q149)+ (0.019993 - 0.000101*L149)*SIN(2*Q149)+ 0.00029*SIN(3*Q149)</f>
        <v>66.6796738207081</v>
      </c>
      <c r="AP149" s="32" t="n">
        <f aca="false">ACOS(COS(W149-$A$10*AO149)*COS(Y149))/$A$10</f>
        <v>27.637539420875</v>
      </c>
      <c r="AQ149" s="34" t="n">
        <f aca="false">180 - AP149 -0.1468*(1-0.0549*SIN(Q149))*SIN($A$10*AP149)/(1-0.0167*SIN($A$10*AO149))</f>
        <v>152.295629865386</v>
      </c>
      <c r="AR149" s="64" t="n">
        <f aca="false">SIN($A$10*AI149)</f>
        <v>-0.687578162191408</v>
      </c>
      <c r="AS149" s="64" t="n">
        <f aca="false">COS($A$10*AI149)*SIN($A$10*$B$5) - TAN($A$10*AG149)*COS($A$10*$B$5)</f>
        <v>-0.708758129027052</v>
      </c>
      <c r="AT149" s="24" t="n">
        <f aca="false">IF(OR(AND(AR149*AS149&gt;0), AND(AR149&lt;0,AS149&gt;0)), MOD(ATAN2(AS149,AR149)/$A$10+360,360),  ATAN2(AS149,AR149)/$A$10)</f>
        <v>224.130990390297</v>
      </c>
      <c r="AU149" s="39" t="n">
        <f aca="false"> 385000.56 + (-20905355*COS(P149) - 3699111*COS(2*R149-P149) - 2955968*COS(2*R149) - 569925*COS(2*P149) + (1-0.002516*L149)*48888*COS(Q149) - 3149*COS(2*S149)  +246158*COS(2*R149-2*P149) -(1 - 0.002516*L149)*152138*COS(2*R149-Q149-P149) -170733*COS(2*R149+P149) -(1 - 0.002516*L149)*204586*COS(2*R149-Q149) -(1 - 0.002516*L149)*129620*COS(Q149-P149)  + 108743*COS(R149) +(1-0.002516*L149)*104755*COS(Q149+P149) +10321*COS(2*R149-2*S149) +79661*COS(P149-2*S149) -34782*COS(4*R149-P149) -23210*COS(3*P149)  -21636*COS(4*R149-2*P149) +(1 - 0.002516*L149)*24208*COS(2*R149+Q149-P149) +(1 - 0.002516*L149)*30824*COS(2*R149+Q149) -8379*COS(R149-P149) -(1 - 0.002516*L149)*16675*COS(R149+Q149)  -(1 - 0.002516*L149)*12831*COS(2*R149-Q149+P149) -10445*COS(2*R149+2*P149) -11650*COS(4*R149) +14403*COS(2*R149-3*P149) -(1-0.002516*L149)*7003*COS(Q149-2*P149)  + (1 - 0.002516*L149)*10056*COS(2*R149-Q149-2*P149) +6322*COS(R149+P149) -(1 - 0.002516*L149)*(1-0.002516*L149)*9884*COS(2*R149-2*Q149) +(1-0.002516*L149)*5751*COS(Q149+2*P149) - (1-0.002516*L149)^2*4950*COS(2*R149-2*Q149-P149)  +4130*COS(2*R149+P149-2*S149) -(1-0.002516*L149)*3958*COS(4*R149-Q149-P149) +3258*COS(3*R149-P149) +(1 - 0.002516*L149)*2616*COS(2*R149+Q149+P149) -(1 - 0.002516*L149)*1897*COS(4*R149-Q149-2*P149)  -(1-0.002516*L149)^2*2117*COS(2*Q149-P149) +(1-0.002516*L149)^2*2354*COS(2*R149+2*Q149-P149) -1423*COS(4*R149+P149) -1117*COS(4*P149) -(1-0.002516*L149)*1571*COS(4*R149-Q149)  -1739*COS(R149-2*P149) -4421*COS(2*P149-2*S149) +(1-0.002516*L149)^2*1165*COS(2*Q149+P149) +8752*COS(2*R149-P149-2*S149))/1000</f>
        <v>397826.006043283</v>
      </c>
      <c r="AV149" s="54" t="n">
        <f aca="false">ATAN(0.99664719*TAN($A$10*input!$E$2))</f>
        <v>0.871010436227447</v>
      </c>
      <c r="AW149" s="54" t="n">
        <f aca="false">COS(AV149)</f>
        <v>0.644053912545845</v>
      </c>
      <c r="AX149" s="54" t="n">
        <f aca="false">0.99664719*SIN(AV149)</f>
        <v>0.762415269897027</v>
      </c>
      <c r="AY149" s="54" t="n">
        <f aca="false">6378.14/AU149</f>
        <v>0.0160324863209321</v>
      </c>
      <c r="AZ149" s="55" t="n">
        <f aca="false">M149-15*AH149</f>
        <v>223.438703850876</v>
      </c>
      <c r="BA149" s="56" t="n">
        <f aca="false">COS($A$10*AG149)*SIN($A$10*AZ149)</f>
        <v>-0.669001908065841</v>
      </c>
      <c r="BB149" s="56" t="n">
        <f aca="false">COS($A$10*AG149)*COS($A$10*AZ149)-AW149*AY149</f>
        <v>-0.716818880260821</v>
      </c>
      <c r="BC149" s="56" t="n">
        <f aca="false">SIN($A$10*AG149)-AX149*AY149</f>
        <v>0.218653078665599</v>
      </c>
      <c r="BD149" s="57" t="n">
        <f aca="false">SQRT(BA149^2+BB149^2+BC149^2)</f>
        <v>1.00459047820694</v>
      </c>
      <c r="BE149" s="58" t="n">
        <f aca="false">AU149*BD149</f>
        <v>399652.217654181</v>
      </c>
    </row>
    <row r="150" customFormat="false" ht="15" hidden="false" customHeight="false" outlineLevel="0" collapsed="false">
      <c r="D150" s="41" t="n">
        <f aca="false">K150-INT(275*E150/9)+IF($A$8="common year",2,1)*INT((E150+9)/12)+30</f>
        <v>29</v>
      </c>
      <c r="E150" s="41" t="n">
        <f aca="false">IF(K150&lt;32,1,INT(9*(IF($A$8="common year",2,1)+K150)/275+0.98))</f>
        <v>5</v>
      </c>
      <c r="F150" s="42" t="n">
        <f aca="false">AM150</f>
        <v>-17.0557732169589</v>
      </c>
      <c r="G150" s="60" t="n">
        <f aca="false">F150+1.02/(TAN($A$10*(F150+10.3/(F150+5.11)))*60)</f>
        <v>-17.1083497413735</v>
      </c>
      <c r="H150" s="43" t="n">
        <f aca="false">100*(1+COS($A$10*AQ150))/2</f>
        <v>2.04052371496866</v>
      </c>
      <c r="I150" s="43" t="n">
        <f aca="false">IF(AI150&gt;180,AT150-180,AT150+180)</f>
        <v>32.2988396481537</v>
      </c>
      <c r="J150" s="61" t="n">
        <f aca="false">$J$2+K149</f>
        <v>2459728.5</v>
      </c>
      <c r="K150" s="21" t="n">
        <v>149</v>
      </c>
      <c r="L150" s="62" t="n">
        <f aca="false">(J150-2451545)/36525</f>
        <v>0.224052019164956</v>
      </c>
      <c r="M150" s="63" t="n">
        <f aca="false">MOD(280.46061837+360.98564736629*(J150-2451545)+0.000387933*L150^2-L150^3/38710000+$B$7,360)</f>
        <v>261.505859877914</v>
      </c>
      <c r="N150" s="30" t="n">
        <f aca="false">0.606433+1336.855225*L150 - INT(0.606433+1336.855225*L150)</f>
        <v>0.131545492470877</v>
      </c>
      <c r="O150" s="35" t="n">
        <f aca="false">22640*SIN(P150)-4586*SIN(P150-2*R150)+2370*SIN(2*R150)+769*SIN(2*P150)-668*SIN(Q150)-412*SIN(2*S150)-212*SIN(2*P150-2*R150)-206*SIN(P150+Q150-2*R150)+192*SIN(P150+2*R150)-165*SIN(Q150-2*R150)-125*SIN(R150)-110*SIN(P150+Q150)+148*SIN(P150-Q150)-55*SIN(2*S150-2*R150)</f>
        <v>14035.6809894814</v>
      </c>
      <c r="P150" s="32" t="n">
        <f aca="false">2*PI()*(0.374897+1325.55241*L150 - INT(0.374897+1325.55241*L150))</f>
        <v>2.3096421784442</v>
      </c>
      <c r="Q150" s="36" t="n">
        <f aca="false">2*PI()*(0.993133+99.997361*L150 - INT(0.993133+99.997361*L150))</f>
        <v>2.49909701508497</v>
      </c>
      <c r="R150" s="36" t="n">
        <f aca="false">2*PI()*(0.827361+1236.853086*L150 - INT(0.827361+1236.853086*L150))</f>
        <v>5.94887164867845</v>
      </c>
      <c r="S150" s="36" t="n">
        <f aca="false">2*PI()*(0.259086+1342.227825*L150 - INT(0.259086+1342.227825*L150))</f>
        <v>6.20741242115331</v>
      </c>
      <c r="T150" s="36" t="n">
        <f aca="false">S150+(O150+412*SIN(2*S150)+541*SIN(Q150))/206264.8062</f>
        <v>6.27672937239531</v>
      </c>
      <c r="U150" s="36" t="n">
        <f aca="false">S150-2*R150</f>
        <v>-5.69033087620359</v>
      </c>
      <c r="V150" s="34" t="n">
        <f aca="false">-526*SIN(U150)+44*SIN(P150+U150)-31*SIN(-P150+U150)-23*SIN(Q150+U150)+11*SIN(-Q150+U150)-25*SIN(-2*P150+S150)+21*SIN(-P150+S150)</f>
        <v>-303.735283969672</v>
      </c>
      <c r="W150" s="36" t="n">
        <f aca="false">2*PI()*(N150+O150/1296000-INT(N150+O150/1296000))</f>
        <v>0.894571607192616</v>
      </c>
      <c r="X150" s="35" t="n">
        <f aca="false">W150*180/PI()</f>
        <v>51.2551775643718</v>
      </c>
      <c r="Y150" s="36" t="n">
        <f aca="false">(18520*SIN(T150)+V150)/206264.8062</f>
        <v>-0.00205220838892528</v>
      </c>
      <c r="Z150" s="36" t="n">
        <f aca="false">Y150*180/PI()</f>
        <v>-0.117582879366761</v>
      </c>
      <c r="AA150" s="36" t="n">
        <f aca="false">COS(Y150)*COS(W150)</f>
        <v>0.625851677033743</v>
      </c>
      <c r="AB150" s="36" t="n">
        <f aca="false">COS(Y150)*SIN(W150)</f>
        <v>0.779939399441196</v>
      </c>
      <c r="AC150" s="36" t="n">
        <f aca="false">SIN(Y150)</f>
        <v>-0.00205220694842604</v>
      </c>
      <c r="AD150" s="36" t="n">
        <f aca="false">COS($A$10*(23.4393-46.815*L150/3600))*AB150-SIN($A$10*(23.4393-46.815*L150/3600))*AC150</f>
        <v>0.71641236148067</v>
      </c>
      <c r="AE150" s="36" t="n">
        <f aca="false">SIN($A$10*(23.4393-46.815*L150/3600))*AB150+COS($A$10*(23.4393-46.815*L150/3600))*AC150</f>
        <v>0.308322893525185</v>
      </c>
      <c r="AF150" s="36" t="n">
        <f aca="false">SQRT(1-AE150*AE150)</f>
        <v>0.951281763374163</v>
      </c>
      <c r="AG150" s="35" t="n">
        <f aca="false">ATAN(AE150/AF150)/$A$10</f>
        <v>17.9581893000755</v>
      </c>
      <c r="AH150" s="36" t="n">
        <f aca="false">IF(24*ATAN(AD150/(AA150+AF150))/PI()&gt;0,24*ATAN(AD150/(AA150+AF150))/PI(),24*ATAN(AD150/(AA150+AF150))/PI()+24)</f>
        <v>3.2573211238755</v>
      </c>
      <c r="AI150" s="63" t="n">
        <f aca="false">IF(M150-15*AH150&gt;0,M150-15*AH150,360+M150-15*AH150)</f>
        <v>212.646043019782</v>
      </c>
      <c r="AJ150" s="32" t="n">
        <f aca="false">0.950724+0.051818*COS(P150)+0.009531*COS(2*R150-P150)+0.007843*COS(2*R150)+0.002824*COS(2*P150)+0.000857*COS(2*R150+P150)+0.000533*COS(2*R150-Q150)*(1-0.002495*(J150-2415020)/36525)+0.000401*COS(2*R150-Q150-P150)*(1-0.002495*(J150-2415020)/36525)+0.00032*COS(P150-Q150)*(1-0.002495*(J150-2415020)/36525)-0.000271*COS(R150)</f>
        <v>0.912058269201676</v>
      </c>
      <c r="AK150" s="36" t="n">
        <f aca="false">ASIN(COS($A$10*$B$5)*COS($A$10*AG150)*COS($A$10*AI150)+SIN($A$10*$B$5)*SIN($A$10*AG150))/$A$10</f>
        <v>-16.1815709425997</v>
      </c>
      <c r="AL150" s="32" t="n">
        <f aca="false">ASIN((0.9983271+0.0016764*COS($A$10*2*$B$5))*COS($A$10*AK150)*SIN($A$10*AJ150))/$A$10</f>
        <v>0.87420227435912</v>
      </c>
      <c r="AM150" s="32" t="n">
        <f aca="false">AK150-AL150</f>
        <v>-17.0557732169589</v>
      </c>
      <c r="AN150" s="35" t="n">
        <f aca="false"> MOD(280.4664567 + 360007.6982779*L150/10 + 0.03032028*L150^2/100 + L150^3/49931000,360)</f>
        <v>66.5116433299536</v>
      </c>
      <c r="AO150" s="32" t="n">
        <f aca="false"> AN150 + (1.9146 - 0.004817*L150 - 0.000014*L150^2)*SIN(Q150)+ (0.019993 - 0.000101*L150)*SIN(2*Q150)+ 0.00029*SIN(3*Q150)</f>
        <v>67.639327057107</v>
      </c>
      <c r="AP150" s="32" t="n">
        <f aca="false">ACOS(COS(W150-$A$10*AO150)*COS(Y150))/$A$10</f>
        <v>16.3845598479904</v>
      </c>
      <c r="AQ150" s="34" t="n">
        <f aca="false">180 - AP150 -0.1468*(1-0.0549*SIN(Q150))*SIN($A$10*AP150)/(1-0.0167*SIN($A$10*AO150))</f>
        <v>163.574764378432</v>
      </c>
      <c r="AR150" s="64" t="n">
        <f aca="false">SIN($A$10*AI150)</f>
        <v>-0.539447607648982</v>
      </c>
      <c r="AS150" s="64" t="n">
        <f aca="false">COS($A$10*AI150)*SIN($A$10*$B$5) - TAN($A$10*AG150)*COS($A$10*$B$5)</f>
        <v>-0.85335999741511</v>
      </c>
      <c r="AT150" s="24" t="n">
        <f aca="false">IF(OR(AND(AR150*AS150&gt;0), AND(AR150&lt;0,AS150&gt;0)), MOD(ATAN2(AS150,AR150)/$A$10+360,360),  ATAN2(AS150,AR150)/$A$10)</f>
        <v>212.298839648154</v>
      </c>
      <c r="AU150" s="39" t="n">
        <f aca="false"> 385000.56 + (-20905355*COS(P150) - 3699111*COS(2*R150-P150) - 2955968*COS(2*R150) - 569925*COS(2*P150) + (1-0.002516*L150)*48888*COS(Q150) - 3149*COS(2*S150)  +246158*COS(2*R150-2*P150) -(1 - 0.002516*L150)*152138*COS(2*R150-Q150-P150) -170733*COS(2*R150+P150) -(1 - 0.002516*L150)*204586*COS(2*R150-Q150) -(1 - 0.002516*L150)*129620*COS(Q150-P150)  + 108743*COS(R150) +(1-0.002516*L150)*104755*COS(Q150+P150) +10321*COS(2*R150-2*S150) +79661*COS(P150-2*S150) -34782*COS(4*R150-P150) -23210*COS(3*P150)  -21636*COS(4*R150-2*P150) +(1 - 0.002516*L150)*24208*COS(2*R150+Q150-P150) +(1 - 0.002516*L150)*30824*COS(2*R150+Q150) -8379*COS(R150-P150) -(1 - 0.002516*L150)*16675*COS(R150+Q150)  -(1 - 0.002516*L150)*12831*COS(2*R150-Q150+P150) -10445*COS(2*R150+2*P150) -11650*COS(4*R150) +14403*COS(2*R150-3*P150) -(1-0.002516*L150)*7003*COS(Q150-2*P150)  + (1 - 0.002516*L150)*10056*COS(2*R150-Q150-2*P150) +6322*COS(R150+P150) -(1 - 0.002516*L150)*(1-0.002516*L150)*9884*COS(2*R150-2*Q150) +(1-0.002516*L150)*5751*COS(Q150+2*P150) - (1-0.002516*L150)^2*4950*COS(2*R150-2*Q150-P150)  +4130*COS(2*R150+P150-2*S150) -(1-0.002516*L150)*3958*COS(4*R150-Q150-P150) +3258*COS(3*R150-P150) +(1 - 0.002516*L150)*2616*COS(2*R150+Q150+P150) -(1 - 0.002516*L150)*1897*COS(4*R150-Q150-2*P150)  -(1-0.002516*L150)^2*2117*COS(2*Q150-P150) +(1-0.002516*L150)^2*2354*COS(2*R150+2*Q150-P150) -1423*COS(4*R150+P150) -1117*COS(4*P150) -(1-0.002516*L150)*1571*COS(4*R150-Q150)  -1739*COS(R150-2*P150) -4421*COS(2*P150-2*S150) +(1-0.002516*L150)^2*1165*COS(2*Q150+P150) +8752*COS(2*R150-P150-2*S150))/1000</f>
        <v>400603.096207182</v>
      </c>
      <c r="AV150" s="54" t="n">
        <f aca="false">ATAN(0.99664719*TAN($A$10*input!$E$2))</f>
        <v>0.871010436227447</v>
      </c>
      <c r="AW150" s="54" t="n">
        <f aca="false">COS(AV150)</f>
        <v>0.644053912545845</v>
      </c>
      <c r="AX150" s="54" t="n">
        <f aca="false">0.99664719*SIN(AV150)</f>
        <v>0.762415269897027</v>
      </c>
      <c r="AY150" s="54" t="n">
        <f aca="false">6378.14/AU150</f>
        <v>0.01592134474343</v>
      </c>
      <c r="AZ150" s="55" t="n">
        <f aca="false">M150-15*AH150</f>
        <v>212.646043019782</v>
      </c>
      <c r="BA150" s="56" t="n">
        <f aca="false">COS($A$10*AG150)*SIN($A$10*AZ150)</f>
        <v>-0.513166671452297</v>
      </c>
      <c r="BB150" s="56" t="n">
        <f aca="false">COS($A$10*AG150)*COS($A$10*AZ150)-AW150*AY150</f>
        <v>-0.811251682922107</v>
      </c>
      <c r="BC150" s="56" t="n">
        <f aca="false">SIN($A$10*AG150)-AX150*AY150</f>
        <v>0.296184217175499</v>
      </c>
      <c r="BD150" s="57" t="n">
        <f aca="false">SQRT(BA150^2+BB150^2+BC150^2)</f>
        <v>1.00458668925944</v>
      </c>
      <c r="BE150" s="58" t="n">
        <f aca="false">AU150*BD150</f>
        <v>402440.538125854</v>
      </c>
    </row>
    <row r="151" customFormat="false" ht="15" hidden="false" customHeight="false" outlineLevel="0" collapsed="false">
      <c r="D151" s="41" t="n">
        <f aca="false">K151-INT(275*E151/9)+IF($A$8="common year",2,1)*INT((E151+9)/12)+30</f>
        <v>30</v>
      </c>
      <c r="E151" s="41" t="n">
        <f aca="false">IF(K151&lt;32,1,INT(9*(IF($A$8="common year",2,1)+K151)/275+0.98))</f>
        <v>5</v>
      </c>
      <c r="F151" s="42" t="n">
        <f aca="false">AM151</f>
        <v>-16.6169487551373</v>
      </c>
      <c r="G151" s="60" t="n">
        <f aca="false">F151+1.02/(TAN($A$10*(F151+10.3/(F151+5.11)))*60)</f>
        <v>-16.6708263207749</v>
      </c>
      <c r="H151" s="43" t="n">
        <f aca="false">100*(1+COS($A$10*AQ151))/2</f>
        <v>0.22237897941681</v>
      </c>
      <c r="I151" s="43" t="n">
        <f aca="false">IF(AI151&gt;180,AT151-180,AT151+180)</f>
        <v>20.6385462916393</v>
      </c>
      <c r="J151" s="61" t="n">
        <f aca="false">$J$2+K150</f>
        <v>2459729.5</v>
      </c>
      <c r="K151" s="21" t="n">
        <v>150</v>
      </c>
      <c r="L151" s="62" t="n">
        <f aca="false">(J151-2451545)/36525</f>
        <v>0.224079397672827</v>
      </c>
      <c r="M151" s="63" t="n">
        <f aca="false">MOD(280.46061837+360.98564736629*(J151-2451545)+0.000387933*L151^2-L151^3/38710000+$B$7,360)</f>
        <v>262.491507248487</v>
      </c>
      <c r="N151" s="30" t="n">
        <f aca="false">0.606433+1336.855225*L151 - INT(0.606433+1336.855225*L151)</f>
        <v>0.168146593771382</v>
      </c>
      <c r="O151" s="35" t="n">
        <f aca="false">22640*SIN(P151)-4586*SIN(P151-2*R151)+2370*SIN(2*R151)+769*SIN(2*P151)-668*SIN(Q151)-412*SIN(2*S151)-212*SIN(2*P151-2*R151)-206*SIN(P151+Q151-2*R151)+192*SIN(P151+2*R151)-165*SIN(Q151-2*R151)-125*SIN(R151)-110*SIN(P151+Q151)+148*SIN(P151-Q151)-55*SIN(2*S151-2*R151)</f>
        <v>9952.87171639512</v>
      </c>
      <c r="P151" s="32" t="n">
        <f aca="false">2*PI()*(0.374897+1325.55241*L151 - INT(0.374897+1325.55241*L151))</f>
        <v>2.53766932222002</v>
      </c>
      <c r="Q151" s="36" t="n">
        <f aca="false">2*PI()*(0.993133+99.997361*L151 - INT(0.993133+99.997361*L151))</f>
        <v>2.51629898495197</v>
      </c>
      <c r="R151" s="36" t="n">
        <f aca="false">2*PI()*(0.827361+1236.853086*L151 - INT(0.827361+1236.853086*L151))</f>
        <v>6.16164035879712</v>
      </c>
      <c r="S151" s="36" t="n">
        <f aca="false">2*PI()*(0.259086+1342.227825*L151 - INT(0.259086+1342.227825*L151))</f>
        <v>0.155122833314727</v>
      </c>
      <c r="T151" s="36" t="n">
        <f aca="false">S151+(O151+412*SIN(2*S151)+541*SIN(Q151))/206264.8062</f>
        <v>0.205520760644151</v>
      </c>
      <c r="U151" s="36" t="n">
        <f aca="false">S151-2*R151</f>
        <v>-12.1681578842795</v>
      </c>
      <c r="V151" s="34" t="n">
        <f aca="false">-526*SIN(U151)+44*SIN(P151+U151)-31*SIN(-P151+U151)-23*SIN(Q151+U151)+11*SIN(-Q151+U151)-25*SIN(-2*P151+S151)+21*SIN(-P151+S151)</f>
        <v>-222.345217922703</v>
      </c>
      <c r="W151" s="36" t="n">
        <f aca="false">2*PI()*(N151+O151/1296000-INT(N151+O151/1296000))</f>
        <v>1.10474909118101</v>
      </c>
      <c r="X151" s="35" t="n">
        <f aca="false">W151*180/PI()</f>
        <v>63.2974603455852</v>
      </c>
      <c r="Y151" s="36" t="n">
        <f aca="false">(18520*SIN(T151)+V151)/206264.8062</f>
        <v>0.017245601314542</v>
      </c>
      <c r="Z151" s="36" t="n">
        <f aca="false">Y151*180/PI()</f>
        <v>0.988100170488519</v>
      </c>
      <c r="AA151" s="36" t="n">
        <f aca="false">COS(Y151)*COS(W151)</f>
        <v>0.449291776771453</v>
      </c>
      <c r="AB151" s="36" t="n">
        <f aca="false">COS(Y151)*SIN(W151)</f>
        <v>0.893218628357061</v>
      </c>
      <c r="AC151" s="36" t="n">
        <f aca="false">SIN(Y151)</f>
        <v>0.0172447464893413</v>
      </c>
      <c r="AD151" s="36" t="n">
        <f aca="false">COS($A$10*(23.4393-46.815*L151/3600))*AB151-SIN($A$10*(23.4393-46.815*L151/3600))*AC151</f>
        <v>0.812671318909809</v>
      </c>
      <c r="AE151" s="36" t="n">
        <f aca="false">SIN($A$10*(23.4393-46.815*L151/3600))*AB151+COS($A$10*(23.4393-46.815*L151/3600))*AC151</f>
        <v>0.371082506657134</v>
      </c>
      <c r="AF151" s="36" t="n">
        <f aca="false">SQRT(1-AE151*AE151)</f>
        <v>0.928599899447043</v>
      </c>
      <c r="AG151" s="35" t="n">
        <f aca="false">ATAN(AE151/AF151)/$A$10</f>
        <v>21.7823937678402</v>
      </c>
      <c r="AH151" s="36" t="n">
        <f aca="false">IF(24*ATAN(AD151/(AA151+AF151))/PI()&gt;0,24*ATAN(AD151/(AA151+AF151))/PI(),24*ATAN(AD151/(AA151+AF151))/PI()+24)</f>
        <v>4.07090937454829</v>
      </c>
      <c r="AI151" s="63" t="n">
        <f aca="false">IF(M151-15*AH151&gt;0,M151-15*AH151,360+M151-15*AH151)</f>
        <v>201.427866630263</v>
      </c>
      <c r="AJ151" s="32" t="n">
        <f aca="false">0.950724+0.051818*COS(P151)+0.009531*COS(2*R151-P151)+0.007843*COS(2*R151)+0.002824*COS(2*P151)+0.000857*COS(2*R151+P151)+0.000533*COS(2*R151-Q151)*(1-0.002495*(J151-2415020)/36525)+0.000401*COS(2*R151-Q151-P151)*(1-0.002495*(J151-2415020)/36525)+0.00032*COS(P151-Q151)*(1-0.002495*(J151-2415020)/36525)-0.000271*COS(R151)</f>
        <v>0.906979706445218</v>
      </c>
      <c r="AK151" s="36" t="n">
        <f aca="false">ASIN(COS($A$10*$B$5)*COS($A$10*AG151)*COS($A$10*AI151)+SIN($A$10*$B$5)*SIN($A$10*AG151))/$A$10</f>
        <v>-15.7457202812605</v>
      </c>
      <c r="AL151" s="32" t="n">
        <f aca="false">ASIN((0.9983271+0.0016764*COS($A$10*2*$B$5))*COS($A$10*AK151)*SIN($A$10*AJ151))/$A$10</f>
        <v>0.871228473876807</v>
      </c>
      <c r="AM151" s="32" t="n">
        <f aca="false">AK151-AL151</f>
        <v>-16.6169487551373</v>
      </c>
      <c r="AN151" s="35" t="n">
        <f aca="false"> MOD(280.4664567 + 360007.6982779*L151/10 + 0.03032028*L151^2/100 + L151^3/49931000,360)</f>
        <v>67.4972906937765</v>
      </c>
      <c r="AO151" s="32" t="n">
        <f aca="false"> AN151 + (1.9146 - 0.004817*L151 - 0.000014*L151^2)*SIN(Q151)+ (0.019993 - 0.000101*L151)*SIN(2*Q151)+ 0.00029*SIN(3*Q151)</f>
        <v>68.5986629787302</v>
      </c>
      <c r="AP151" s="32" t="n">
        <f aca="false">ACOS(COS(W151-$A$10*AO151)*COS(Y151))/$A$10</f>
        <v>5.39224476800505</v>
      </c>
      <c r="AQ151" s="34" t="n">
        <f aca="false">180 - AP151 -0.1468*(1-0.0549*SIN(Q151))*SIN($A$10*AP151)/(1-0.0167*SIN($A$10*AO151))</f>
        <v>174.594192342473</v>
      </c>
      <c r="AR151" s="64" t="n">
        <f aca="false">SIN($A$10*AI151)</f>
        <v>-0.365329573613257</v>
      </c>
      <c r="AS151" s="64" t="n">
        <f aca="false">COS($A$10*AI151)*SIN($A$10*$B$5) - TAN($A$10*AG151)*COS($A$10*$B$5)</f>
        <v>-0.969961715686335</v>
      </c>
      <c r="AT151" s="24" t="n">
        <f aca="false">IF(OR(AND(AR151*AS151&gt;0), AND(AR151&lt;0,AS151&gt;0)), MOD(ATAN2(AS151,AR151)/$A$10+360,360),  ATAN2(AS151,AR151)/$A$10)</f>
        <v>200.638546291639</v>
      </c>
      <c r="AU151" s="39" t="n">
        <f aca="false"> 385000.56 + (-20905355*COS(P151) - 3699111*COS(2*R151-P151) - 2955968*COS(2*R151) - 569925*COS(2*P151) + (1-0.002516*L151)*48888*COS(Q151) - 3149*COS(2*S151)  +246158*COS(2*R151-2*P151) -(1 - 0.002516*L151)*152138*COS(2*R151-Q151-P151) -170733*COS(2*R151+P151) -(1 - 0.002516*L151)*204586*COS(2*R151-Q151) -(1 - 0.002516*L151)*129620*COS(Q151-P151)  + 108743*COS(R151) +(1-0.002516*L151)*104755*COS(Q151+P151) +10321*COS(2*R151-2*S151) +79661*COS(P151-2*S151) -34782*COS(4*R151-P151) -23210*COS(3*P151)  -21636*COS(4*R151-2*P151) +(1 - 0.002516*L151)*24208*COS(2*R151+Q151-P151) +(1 - 0.002516*L151)*30824*COS(2*R151+Q151) -8379*COS(R151-P151) -(1 - 0.002516*L151)*16675*COS(R151+Q151)  -(1 - 0.002516*L151)*12831*COS(2*R151-Q151+P151) -10445*COS(2*R151+2*P151) -11650*COS(4*R151) +14403*COS(2*R151-3*P151) -(1-0.002516*L151)*7003*COS(Q151-2*P151)  + (1 - 0.002516*L151)*10056*COS(2*R151-Q151-2*P151) +6322*COS(R151+P151) -(1 - 0.002516*L151)*(1-0.002516*L151)*9884*COS(2*R151-2*Q151) +(1-0.002516*L151)*5751*COS(Q151+2*P151) - (1-0.002516*L151)^2*4950*COS(2*R151-2*Q151-P151)  +4130*COS(2*R151+P151-2*S151) -(1-0.002516*L151)*3958*COS(4*R151-Q151-P151) +3258*COS(3*R151-P151) +(1 - 0.002516*L151)*2616*COS(2*R151+Q151+P151) -(1 - 0.002516*L151)*1897*COS(4*R151-Q151-2*P151)  -(1-0.002516*L151)^2*2117*COS(2*Q151-P151) +(1-0.002516*L151)^2*2354*COS(2*R151+2*Q151-P151) -1423*COS(4*R151+P151) -1117*COS(4*P151) -(1-0.002516*L151)*1571*COS(4*R151-Q151)  -1739*COS(R151-2*P151) -4421*COS(2*P151-2*S151) +(1-0.002516*L151)^2*1165*COS(2*Q151+P151) +8752*COS(2*R151-P151-2*S151))/1000</f>
        <v>402883.49164364</v>
      </c>
      <c r="AV151" s="54" t="n">
        <f aca="false">ATAN(0.99664719*TAN($A$10*input!$E$2))</f>
        <v>0.871010436227447</v>
      </c>
      <c r="AW151" s="54" t="n">
        <f aca="false">COS(AV151)</f>
        <v>0.644053912545845</v>
      </c>
      <c r="AX151" s="54" t="n">
        <f aca="false">0.99664719*SIN(AV151)</f>
        <v>0.762415269897027</v>
      </c>
      <c r="AY151" s="54" t="n">
        <f aca="false">6378.14/AU151</f>
        <v>0.0158312269732849</v>
      </c>
      <c r="AZ151" s="55" t="n">
        <f aca="false">M151-15*AH151</f>
        <v>201.427866630263</v>
      </c>
      <c r="BA151" s="56" t="n">
        <f aca="false">COS($A$10*AG151)*SIN($A$10*AZ151)</f>
        <v>-0.339245005322301</v>
      </c>
      <c r="BB151" s="56" t="n">
        <f aca="false">COS($A$10*AG151)*COS($A$10*AZ151)-AW151*AY151</f>
        <v>-0.874609606196972</v>
      </c>
      <c r="BC151" s="56" t="n">
        <f aca="false">SIN($A$10*AG151)-AX151*AY151</f>
        <v>0.359012537471496</v>
      </c>
      <c r="BD151" s="57" t="n">
        <f aca="false">SQRT(BA151^2+BB151^2+BC151^2)</f>
        <v>1.00444966969474</v>
      </c>
      <c r="BE151" s="58" t="n">
        <f aca="false">AU151*BD151</f>
        <v>404676.190106918</v>
      </c>
    </row>
    <row r="152" customFormat="false" ht="15" hidden="false" customHeight="false" outlineLevel="0" collapsed="false">
      <c r="D152" s="41" t="n">
        <f aca="false">K152-INT(275*E152/9)+IF($A$8="common year",2,1)*INT((E152+9)/12)+30</f>
        <v>31</v>
      </c>
      <c r="E152" s="41" t="n">
        <f aca="false">IF(K152&lt;32,1,INT(9*(IF($A$8="common year",2,1)+K152)/275+0.98))</f>
        <v>5</v>
      </c>
      <c r="F152" s="42" t="n">
        <f aca="false">AM152</f>
        <v>-15.7255594731092</v>
      </c>
      <c r="G152" s="60" t="n">
        <f aca="false">F152+1.02/(TAN($A$10*(F152+10.3/(F152+5.11)))*60)</f>
        <v>-15.7822383990275</v>
      </c>
      <c r="H152" s="43" t="n">
        <f aca="false">100*(1+COS($A$10*AQ152))/2</f>
        <v>0.277848209549758</v>
      </c>
      <c r="I152" s="43" t="n">
        <f aca="false">IF(AI152&gt;180,AT152-180,AT152+180)</f>
        <v>9.16703028318722</v>
      </c>
      <c r="J152" s="61" t="n">
        <f aca="false">$J$2+K151</f>
        <v>2459730.5</v>
      </c>
      <c r="K152" s="21" t="n">
        <v>151</v>
      </c>
      <c r="L152" s="62" t="n">
        <f aca="false">(J152-2451545)/36525</f>
        <v>0.224106776180698</v>
      </c>
      <c r="M152" s="63" t="n">
        <f aca="false">MOD(280.46061837+360.98564736629*(J152-2451545)+0.000387933*L152^2-L152^3/38710000+$B$7,360)</f>
        <v>263.477154619526</v>
      </c>
      <c r="N152" s="30" t="n">
        <f aca="false">0.606433+1336.855225*L152 - INT(0.606433+1336.855225*L152)</f>
        <v>0.204747695071887</v>
      </c>
      <c r="O152" s="35" t="n">
        <f aca="false">22640*SIN(P152)-4586*SIN(P152-2*R152)+2370*SIN(2*R152)+769*SIN(2*P152)-668*SIN(Q152)-412*SIN(2*S152)-212*SIN(2*P152-2*R152)-206*SIN(P152+Q152-2*R152)+192*SIN(P152+2*R152)-165*SIN(Q152-2*R152)-125*SIN(R152)-110*SIN(P152+Q152)+148*SIN(P152-Q152)-55*SIN(2*S152-2*R152)</f>
        <v>5480.67692973171</v>
      </c>
      <c r="P152" s="32" t="n">
        <f aca="false">2*PI()*(0.374897+1325.55241*L152 - INT(0.374897+1325.55241*L152))</f>
        <v>2.76569646599584</v>
      </c>
      <c r="Q152" s="36" t="n">
        <f aca="false">2*PI()*(0.993133+99.997361*L152 - INT(0.993133+99.997361*L152))</f>
        <v>2.53350095481896</v>
      </c>
      <c r="R152" s="36" t="n">
        <f aca="false">2*PI()*(0.827361+1236.853086*L152 - INT(0.827361+1236.853086*L152))</f>
        <v>0.0912237617365542</v>
      </c>
      <c r="S152" s="36" t="n">
        <f aca="false">2*PI()*(0.259086+1342.227825*L152 - INT(0.259086+1342.227825*L152))</f>
        <v>0.386018552655375</v>
      </c>
      <c r="T152" s="36" t="n">
        <f aca="false">S152+(O152+412*SIN(2*S152)+541*SIN(Q152))/206264.8062</f>
        <v>0.41548146119889</v>
      </c>
      <c r="U152" s="36" t="n">
        <f aca="false">S152-2*R152</f>
        <v>0.203571029182266</v>
      </c>
      <c r="V152" s="34" t="n">
        <f aca="false">-526*SIN(U152)+44*SIN(P152+U152)-31*SIN(-P152+U152)-23*SIN(Q152+U152)+11*SIN(-Q152+U152)-25*SIN(-2*P152+S152)+21*SIN(-P152+S152)</f>
        <v>-136.042012304523</v>
      </c>
      <c r="W152" s="36" t="n">
        <f aca="false">2*PI()*(N152+O152/1296000-INT(N152+O152/1296000))</f>
        <v>1.31303878092732</v>
      </c>
      <c r="X152" s="35" t="n">
        <f aca="false">W152*180/PI()</f>
        <v>75.2315804841383</v>
      </c>
      <c r="Y152" s="36" t="n">
        <f aca="false">(18520*SIN(T152)+V152)/206264.8062</f>
        <v>0.0355814186154853</v>
      </c>
      <c r="Z152" s="36" t="n">
        <f aca="false">Y152*180/PI()</f>
        <v>2.03866511575553</v>
      </c>
      <c r="AA152" s="36" t="n">
        <f aca="false">COS(Y152)*COS(W152)</f>
        <v>0.25475147457771</v>
      </c>
      <c r="AB152" s="36" t="n">
        <f aca="false">COS(Y152)*SIN(W152)</f>
        <v>0.966351997484941</v>
      </c>
      <c r="AC152" s="36" t="n">
        <f aca="false">SIN(Y152)</f>
        <v>0.0355739111899088</v>
      </c>
      <c r="AD152" s="36" t="n">
        <f aca="false">COS($A$10*(23.4393-46.815*L152/3600))*AB152-SIN($A$10*(23.4393-46.815*L152/3600))*AC152</f>
        <v>0.87248128038575</v>
      </c>
      <c r="AE152" s="36" t="n">
        <f aca="false">SIN($A$10*(23.4393-46.815*L152/3600))*AB152+COS($A$10*(23.4393-46.815*L152/3600))*AC152</f>
        <v>0.416986932141673</v>
      </c>
      <c r="AF152" s="36" t="n">
        <f aca="false">SQRT(1-AE152*AE152)</f>
        <v>0.908912481168058</v>
      </c>
      <c r="AG152" s="35" t="n">
        <f aca="false">ATAN(AE152/AF152)/$A$10</f>
        <v>24.6445055295549</v>
      </c>
      <c r="AH152" s="36" t="n">
        <f aca="false">IF(24*ATAN(AD152/(AA152+AF152))/PI()&gt;0,24*ATAN(AD152/(AA152+AF152))/PI(),24*ATAN(AD152/(AA152+AF152))/PI()+24)</f>
        <v>4.91486572226932</v>
      </c>
      <c r="AI152" s="63" t="n">
        <f aca="false">IF(M152-15*AH152&gt;0,M152-15*AH152,360+M152-15*AH152)</f>
        <v>189.754168785486</v>
      </c>
      <c r="AJ152" s="32" t="n">
        <f aca="false">0.950724+0.051818*COS(P152)+0.009531*COS(2*R152-P152)+0.007843*COS(2*R152)+0.002824*COS(2*P152)+0.000857*COS(2*R152+P152)+0.000533*COS(2*R152-Q152)*(1-0.002495*(J152-2415020)/36525)+0.000401*COS(2*R152-Q152-P152)*(1-0.002495*(J152-2415020)/36525)+0.00032*COS(P152-Q152)*(1-0.002495*(J152-2415020)/36525)-0.000271*COS(R152)</f>
        <v>0.903199141531721</v>
      </c>
      <c r="AK152" s="36" t="n">
        <f aca="false">ASIN(COS($A$10*$B$5)*COS($A$10*AG152)*COS($A$10*AI152)+SIN($A$10*$B$5)*SIN($A$10*AG152))/$A$10</f>
        <v>-14.8542614189541</v>
      </c>
      <c r="AL152" s="32" t="n">
        <f aca="false">ASIN((0.9983271+0.0016764*COS($A$10*2*$B$5))*COS($A$10*AK152)*SIN($A$10*AJ152))/$A$10</f>
        <v>0.871298054155055</v>
      </c>
      <c r="AM152" s="32" t="n">
        <f aca="false">AK152-AL152</f>
        <v>-15.7255594731092</v>
      </c>
      <c r="AN152" s="35" t="n">
        <f aca="false"> MOD(280.4664567 + 360007.6982779*L152/10 + 0.03032028*L152^2/100 + L152^3/49931000,360)</f>
        <v>68.4829380576011</v>
      </c>
      <c r="AO152" s="32" t="n">
        <f aca="false"> AN152 + (1.9146 - 0.004817*L152 - 0.000014*L152^2)*SIN(Q152)+ (0.019993 - 0.000101*L152)*SIN(2*Q152)+ 0.00029*SIN(3*Q152)</f>
        <v>69.5576891777165</v>
      </c>
      <c r="AP152" s="32" t="n">
        <f aca="false">ACOS(COS(W152-$A$10*AO152)*COS(Y152))/$A$10</f>
        <v>6.02790196598301</v>
      </c>
      <c r="AQ152" s="34" t="n">
        <f aca="false">180 - AP152 -0.1468*(1-0.0549*SIN(Q152))*SIN($A$10*AP152)/(1-0.0167*SIN($A$10*AO152))</f>
        <v>173.956928290528</v>
      </c>
      <c r="AR152" s="64" t="n">
        <f aca="false">SIN($A$10*AI152)</f>
        <v>-0.16942121150608</v>
      </c>
      <c r="AS152" s="64" t="n">
        <f aca="false">COS($A$10*AI152)*SIN($A$10*$B$5) - TAN($A$10*AG152)*COS($A$10*$B$5)</f>
        <v>-1.04986561748547</v>
      </c>
      <c r="AT152" s="24" t="n">
        <f aca="false">IF(OR(AND(AR152*AS152&gt;0), AND(AR152&lt;0,AS152&gt;0)), MOD(ATAN2(AS152,AR152)/$A$10+360,360),  ATAN2(AS152,AR152)/$A$10)</f>
        <v>189.167030283187</v>
      </c>
      <c r="AU152" s="39" t="n">
        <f aca="false"> 385000.56 + (-20905355*COS(P152) - 3699111*COS(2*R152-P152) - 2955968*COS(2*R152) - 569925*COS(2*P152) + (1-0.002516*L152)*48888*COS(Q152) - 3149*COS(2*S152)  +246158*COS(2*R152-2*P152) -(1 - 0.002516*L152)*152138*COS(2*R152-Q152-P152) -170733*COS(2*R152+P152) -(1 - 0.002516*L152)*204586*COS(2*R152-Q152) -(1 - 0.002516*L152)*129620*COS(Q152-P152)  + 108743*COS(R152) +(1-0.002516*L152)*104755*COS(Q152+P152) +10321*COS(2*R152-2*S152) +79661*COS(P152-2*S152) -34782*COS(4*R152-P152) -23210*COS(3*P152)  -21636*COS(4*R152-2*P152) +(1 - 0.002516*L152)*24208*COS(2*R152+Q152-P152) +(1 - 0.002516*L152)*30824*COS(2*R152+Q152) -8379*COS(R152-P152) -(1 - 0.002516*L152)*16675*COS(R152+Q152)  -(1 - 0.002516*L152)*12831*COS(2*R152-Q152+P152) -10445*COS(2*R152+2*P152) -11650*COS(4*R152) +14403*COS(2*R152-3*P152) -(1-0.002516*L152)*7003*COS(Q152-2*P152)  + (1 - 0.002516*L152)*10056*COS(2*R152-Q152-2*P152) +6322*COS(R152+P152) -(1 - 0.002516*L152)*(1-0.002516*L152)*9884*COS(2*R152-2*Q152) +(1-0.002516*L152)*5751*COS(Q152+2*P152) - (1-0.002516*L152)^2*4950*COS(2*R152-2*Q152-P152)  +4130*COS(2*R152+P152-2*S152) -(1-0.002516*L152)*3958*COS(4*R152-Q152-P152) +3258*COS(3*R152-P152) +(1 - 0.002516*L152)*2616*COS(2*R152+Q152+P152) -(1 - 0.002516*L152)*1897*COS(4*R152-Q152-2*P152)  -(1-0.002516*L152)^2*2117*COS(2*Q152-P152) +(1-0.002516*L152)^2*2354*COS(2*R152+2*Q152-P152) -1423*COS(4*R152+P152) -1117*COS(4*P152) -(1-0.002516*L152)*1571*COS(4*R152-Q152)  -1739*COS(R152-2*P152) -4421*COS(2*P152-2*S152) +(1-0.002516*L152)^2*1165*COS(2*Q152+P152) +8752*COS(2*R152-P152-2*S152))/1000</f>
        <v>404625.368896386</v>
      </c>
      <c r="AV152" s="54" t="n">
        <f aca="false">ATAN(0.99664719*TAN($A$10*input!$E$2))</f>
        <v>0.871010436227447</v>
      </c>
      <c r="AW152" s="54" t="n">
        <f aca="false">COS(AV152)</f>
        <v>0.644053912545845</v>
      </c>
      <c r="AX152" s="54" t="n">
        <f aca="false">0.99664719*SIN(AV152)</f>
        <v>0.762415269897027</v>
      </c>
      <c r="AY152" s="54" t="n">
        <f aca="false">6378.14/AU152</f>
        <v>0.0157630749090112</v>
      </c>
      <c r="AZ152" s="55" t="n">
        <f aca="false">M152-15*AH152</f>
        <v>189.754168785486</v>
      </c>
      <c r="BA152" s="56" t="n">
        <f aca="false">COS($A$10*AG152)*SIN($A$10*AZ152)</f>
        <v>-0.153989053712489</v>
      </c>
      <c r="BB152" s="56" t="n">
        <f aca="false">COS($A$10*AG152)*COS($A$10*AZ152)-AW152*AY152</f>
        <v>-0.905925271314088</v>
      </c>
      <c r="BC152" s="56" t="n">
        <f aca="false">SIN($A$10*AG152)-AX152*AY152</f>
        <v>0.404968923130513</v>
      </c>
      <c r="BD152" s="57" t="n">
        <f aca="false">SQRT(BA152^2+BB152^2+BC152^2)</f>
        <v>1.00419771687166</v>
      </c>
      <c r="BE152" s="58" t="n">
        <f aca="false">AU152*BD152</f>
        <v>406323.871634104</v>
      </c>
    </row>
    <row r="153" customFormat="false" ht="15" hidden="false" customHeight="false" outlineLevel="0" collapsed="false">
      <c r="A153" s="11"/>
      <c r="B153" s="69"/>
      <c r="C153" s="69"/>
      <c r="D153" s="70" t="n">
        <f aca="false">K153-INT(275*E153/9)+IF($A$8="common year",2,1)*INT((E153+9)/12)+30</f>
        <v>1</v>
      </c>
      <c r="E153" s="70" t="n">
        <f aca="false">IF(K153&lt;32,1,INT(9*(IF($A$8="common year",2,1)+K153)/275+0.98))</f>
        <v>6</v>
      </c>
      <c r="F153" s="42" t="n">
        <f aca="false">AM153</f>
        <v>-14.4504349347404</v>
      </c>
      <c r="G153" s="60" t="n">
        <f aca="false">F153+1.02/(TAN($A$10*(F153+10.3/(F153+5.11)))*60)</f>
        <v>-14.5115148023555</v>
      </c>
      <c r="H153" s="43" t="n">
        <f aca="false">100*(1+COS($A$10*AQ153))/2</f>
        <v>2.15455267160661</v>
      </c>
      <c r="I153" s="43" t="n">
        <f aca="false">IF(AI153&gt;180,AT153-180,AT153+180)</f>
        <v>357.882065105344</v>
      </c>
      <c r="J153" s="44" t="n">
        <f aca="false">$J$2+K152</f>
        <v>2459731.5</v>
      </c>
      <c r="K153" s="11" t="n">
        <v>152</v>
      </c>
      <c r="L153" s="45" t="n">
        <f aca="false">(J153-2451545)/36525</f>
        <v>0.224134154688569</v>
      </c>
      <c r="M153" s="46" t="n">
        <f aca="false">MOD(280.46061837+360.98564736629*(J153-2451545)+0.000387933*L153^2-L153^3/38710000+$B$7,360)</f>
        <v>264.462801991031</v>
      </c>
      <c r="N153" s="47" t="n">
        <f aca="false">0.606433+1336.855225*L153 - INT(0.606433+1336.855225*L153)</f>
        <v>0.241348796372336</v>
      </c>
      <c r="O153" s="46" t="n">
        <f aca="false">22640*SIN(P153)-4586*SIN(P153-2*R153)+2370*SIN(2*R153)+769*SIN(2*P153)-668*SIN(Q153)-412*SIN(2*S153)-212*SIN(2*P153-2*R153)-206*SIN(P153+Q153-2*R153)+192*SIN(P153+2*R153)-165*SIN(Q153-2*R153)-125*SIN(R153)-110*SIN(P153+Q153)+148*SIN(P153-Q153)-55*SIN(2*S153-2*R153)</f>
        <v>754.976170621037</v>
      </c>
      <c r="P153" s="48" t="n">
        <f aca="false">2*PI()*(0.374897+1325.55241*L153 - INT(0.374897+1325.55241*L153))</f>
        <v>2.99372360977166</v>
      </c>
      <c r="Q153" s="51" t="n">
        <f aca="false">2*PI()*(0.993133+99.997361*L153 - INT(0.993133+99.997361*L153))</f>
        <v>2.55070292468597</v>
      </c>
      <c r="R153" s="51" t="n">
        <f aca="false">2*PI()*(0.827361+1236.853086*L153 - INT(0.827361+1236.853086*L153))</f>
        <v>0.303992471855579</v>
      </c>
      <c r="S153" s="51" t="n">
        <f aca="false">2*PI()*(0.259086+1342.227825*L153 - INT(0.259086+1342.227825*L153))</f>
        <v>0.616914271996379</v>
      </c>
      <c r="T153" s="51" t="n">
        <f aca="false">S153+(O153+412*SIN(2*S153)+541*SIN(Q153))/206264.8062</f>
        <v>0.623920785185643</v>
      </c>
      <c r="U153" s="51" t="n">
        <f aca="false">S153-2*R153</f>
        <v>0.00892932828522175</v>
      </c>
      <c r="V153" s="50" t="n">
        <f aca="false">-526*SIN(U153)+44*SIN(P153+U153)-31*SIN(-P153+U153)-23*SIN(Q153+U153)+11*SIN(-Q153+U153)-25*SIN(-2*P153+S153)+21*SIN(-P153+S153)</f>
        <v>-46.9320913150866</v>
      </c>
      <c r="W153" s="51" t="n">
        <f aca="false">2*PI()*(N153+O153/1296000-INT(N153+O153/1296000))</f>
        <v>1.52009943903642</v>
      </c>
      <c r="X153" s="46" t="n">
        <f aca="false">W153*180/PI()</f>
        <v>87.0952822969911</v>
      </c>
      <c r="Y153" s="51" t="n">
        <f aca="false">(18520*SIN(T153)+V153)/206264.8062</f>
        <v>0.0522282716454996</v>
      </c>
      <c r="Z153" s="51" t="n">
        <f aca="false">Y153*180/PI()</f>
        <v>2.99245953654991</v>
      </c>
      <c r="AA153" s="51" t="n">
        <f aca="false">COS(Y153)*COS(W153)</f>
        <v>0.0506060739419086</v>
      </c>
      <c r="AB153" s="51" t="n">
        <f aca="false">COS(Y153)*SIN(W153)</f>
        <v>0.997353353783357</v>
      </c>
      <c r="AC153" s="51" t="n">
        <f aca="false">SIN(Y153)</f>
        <v>0.0522045302370921</v>
      </c>
      <c r="AD153" s="51" t="n">
        <f aca="false">COS($A$10*(23.4393-46.815*L153/3600))*AB153-SIN($A$10*(23.4393-46.815*L153/3600))*AC153</f>
        <v>0.894310590145718</v>
      </c>
      <c r="AE153" s="51" t="n">
        <f aca="false">SIN($A$10*(23.4393-46.815*L153/3600))*AB153+COS($A$10*(23.4393-46.815*L153/3600))*AC153</f>
        <v>0.44457574566479</v>
      </c>
      <c r="AF153" s="51" t="n">
        <f aca="false">SQRT(1-AE153*AE153)</f>
        <v>0.895741260837412</v>
      </c>
      <c r="AG153" s="46" t="n">
        <f aca="false">ATAN(AE153/AF153)/$A$10</f>
        <v>26.3961982928671</v>
      </c>
      <c r="AH153" s="51" t="n">
        <f aca="false">IF(24*ATAN(AD153/(AA153+AF153))/PI()&gt;0,24*ATAN(AD153/(AA153+AF153))/PI(),24*ATAN(AD153/(AA153+AF153))/PI()+24)</f>
        <v>5.78408503571187</v>
      </c>
      <c r="AI153" s="46" t="n">
        <f aca="false">IF(M153-15*AH153&gt;0,M153-15*AH153,360+M153-15*AH153)</f>
        <v>177.701526455352</v>
      </c>
      <c r="AJ153" s="48" t="n">
        <f aca="false">0.950724+0.051818*COS(P153)+0.009531*COS(2*R153-P153)+0.007843*COS(2*R153)+0.002824*COS(2*P153)+0.000857*COS(2*R153+P153)+0.000533*COS(2*R153-Q153)*(1-0.002495*(J153-2415020)/36525)+0.000401*COS(2*R153-Q153-P153)*(1-0.002495*(J153-2415020)/36525)+0.00032*COS(P153-Q153)*(1-0.002495*(J153-2415020)/36525)-0.000271*COS(R153)</f>
        <v>0.900832338525494</v>
      </c>
      <c r="AK153" s="51" t="n">
        <f aca="false">ASIN(COS($A$10*$B$5)*COS($A$10*AG153)*COS($A$10*AI153)+SIN($A$10*$B$5)*SIN($A$10*AG153))/$A$10</f>
        <v>-13.5764961318219</v>
      </c>
      <c r="AL153" s="48" t="n">
        <f aca="false">ASIN((0.9983271+0.0016764*COS($A$10*2*$B$5))*COS($A$10*AK153)*SIN($A$10*AJ153))/$A$10</f>
        <v>0.873938802918462</v>
      </c>
      <c r="AM153" s="48" t="n">
        <f aca="false">AK153-AL153</f>
        <v>-14.4504349347404</v>
      </c>
      <c r="AN153" s="46" t="n">
        <f aca="false"> MOD(280.4664567 + 360007.6982779*L153/10 + 0.03032028*L153^2/100 + L153^3/49931000,360)</f>
        <v>69.4685854214258</v>
      </c>
      <c r="AO153" s="48" t="n">
        <f aca="false"> AN153 + (1.9146 - 0.004817*L153 - 0.000014*L153^2)*SIN(Q153)+ (0.019993 - 0.000101*L153)*SIN(2*Q153)+ 0.00029*SIN(3*Q153)</f>
        <v>70.5164133196774</v>
      </c>
      <c r="AP153" s="48" t="n">
        <f aca="false">ACOS(COS(W153-$A$10*AO153)*COS(Y153))/$A$10</f>
        <v>16.8393093795288</v>
      </c>
      <c r="AQ153" s="50" t="n">
        <f aca="false">180 - AP153 -0.1468*(1-0.0549*SIN(Q153))*SIN($A$10*AP153)/(1-0.0167*SIN($A$10*AO153))</f>
        <v>163.11880557655</v>
      </c>
      <c r="AR153" s="44" t="n">
        <f aca="false">SIN($A$10*AI153)</f>
        <v>0.0401051723091958</v>
      </c>
      <c r="AS153" s="44" t="n">
        <f aca="false">COS($A$10*AI153)*SIN($A$10*$B$5) - TAN($A$10*AG153)*COS($A$10*$B$5)</f>
        <v>-1.08445751474335</v>
      </c>
      <c r="AT153" s="71" t="n">
        <f aca="false">IF(OR(AND(AR153*AS153&gt;0), AND(AR153&lt;0,AS153&gt;0)), MOD(ATAN2(AS153,AR153)/$A$10+360,360),  ATAN2(AS153,AR153)/$A$10)</f>
        <v>177.882065105343</v>
      </c>
      <c r="AU153" s="39" t="n">
        <f aca="false"> 385000.56 + (-20905355*COS(P153) - 3699111*COS(2*R153-P153) - 2955968*COS(2*R153) - 569925*COS(2*P153) + (1-0.002516*L153)*48888*COS(Q153) - 3149*COS(2*S153)  +246158*COS(2*R153-2*P153) -(1 - 0.002516*L153)*152138*COS(2*R153-Q153-P153) -170733*COS(2*R153+P153) -(1 - 0.002516*L153)*204586*COS(2*R153-Q153) -(1 - 0.002516*L153)*129620*COS(Q153-P153)  + 108743*COS(R153) +(1-0.002516*L153)*104755*COS(Q153+P153) +10321*COS(2*R153-2*S153) +79661*COS(P153-2*S153) -34782*COS(4*R153-P153) -23210*COS(3*P153)  -21636*COS(4*R153-2*P153) +(1 - 0.002516*L153)*24208*COS(2*R153+Q153-P153) +(1 - 0.002516*L153)*30824*COS(2*R153+Q153) -8379*COS(R153-P153) -(1 - 0.002516*L153)*16675*COS(R153+Q153)  -(1 - 0.002516*L153)*12831*COS(2*R153-Q153+P153) -10445*COS(2*R153+2*P153) -11650*COS(4*R153) +14403*COS(2*R153-3*P153) -(1-0.002516*L153)*7003*COS(Q153-2*P153)  + (1 - 0.002516*L153)*10056*COS(2*R153-Q153-2*P153) +6322*COS(R153+P153) -(1 - 0.002516*L153)*(1-0.002516*L153)*9884*COS(2*R153-2*Q153) +(1-0.002516*L153)*5751*COS(Q153+2*P153) - (1-0.002516*L153)^2*4950*COS(2*R153-2*Q153-P153)  +4130*COS(2*R153+P153-2*S153) -(1-0.002516*L153)*3958*COS(4*R153-Q153-P153) +3258*COS(3*R153-P153) +(1 - 0.002516*L153)*2616*COS(2*R153+Q153+P153) -(1 - 0.002516*L153)*1897*COS(4*R153-Q153-2*P153)  -(1-0.002516*L153)^2*2117*COS(2*Q153-P153) +(1-0.002516*L153)^2*2354*COS(2*R153+2*Q153-P153) -1423*COS(4*R153+P153) -1117*COS(4*P153) -(1-0.002516*L153)*1571*COS(4*R153-Q153)  -1739*COS(R153-2*P153) -4421*COS(2*P153-2*S153) +(1-0.002516*L153)^2*1165*COS(2*Q153+P153) +8752*COS(2*R153-P153-2*S153))/1000</f>
        <v>405759.385620622</v>
      </c>
      <c r="AV153" s="72" t="n">
        <f aca="false">ATAN(0.99664719*TAN($A$10*input!$E$2))</f>
        <v>0.871010436227447</v>
      </c>
      <c r="AW153" s="72" t="n">
        <f aca="false">COS(AV153)</f>
        <v>0.644053912545845</v>
      </c>
      <c r="AX153" s="72" t="n">
        <f aca="false">0.99664719*SIN(AV153)</f>
        <v>0.762415269897027</v>
      </c>
      <c r="AY153" s="72" t="n">
        <f aca="false">6378.14/AU153</f>
        <v>0.0157190202519763</v>
      </c>
      <c r="AZ153" s="73" t="n">
        <f aca="false">M153-15*AH153</f>
        <v>177.701526455352</v>
      </c>
      <c r="BA153" s="74" t="n">
        <f aca="false">COS($A$10*AG153)*SIN($A$10*AZ153)</f>
        <v>0.0359238576103407</v>
      </c>
      <c r="BB153" s="74" t="n">
        <f aca="false">COS($A$10*AG153)*COS($A$10*AZ153)-AW153*AY153</f>
        <v>-0.905144501185418</v>
      </c>
      <c r="BC153" s="74" t="n">
        <f aca="false">SIN($A$10*AG153)-AX153*AY153</f>
        <v>0.432591324596863</v>
      </c>
      <c r="BD153" s="75" t="n">
        <f aca="false">SQRT(BA153^2+BB153^2+BC153^2)</f>
        <v>1.00384876634296</v>
      </c>
      <c r="BE153" s="58" t="n">
        <f aca="false">AU153*BD153</f>
        <v>407321.058687337</v>
      </c>
      <c r="BH153" s="69"/>
      <c r="BI153" s="69"/>
      <c r="BJ153" s="69"/>
      <c r="BK153" s="69"/>
      <c r="BL153" s="69"/>
    </row>
    <row r="154" customFormat="false" ht="15" hidden="false" customHeight="false" outlineLevel="0" collapsed="false">
      <c r="D154" s="41" t="n">
        <f aca="false">K154-INT(275*E154/9)+IF($A$8="common year",2,1)*INT((E154+9)/12)+30</f>
        <v>2</v>
      </c>
      <c r="E154" s="41" t="n">
        <f aca="false">IF(K154&lt;32,1,INT(9*(IF($A$8="common year",2,1)+K154)/275+0.98))</f>
        <v>6</v>
      </c>
      <c r="F154" s="42" t="n">
        <f aca="false">AM154</f>
        <v>-12.859478315997</v>
      </c>
      <c r="G154" s="60" t="n">
        <f aca="false">F154+1.02/(TAN($A$10*(F154+10.3/(F154+5.11)))*60)</f>
        <v>-12.926717915405</v>
      </c>
      <c r="H154" s="43" t="n">
        <f aca="false">100*(1+COS($A$10*AQ154))/2</f>
        <v>5.75560602904985</v>
      </c>
      <c r="I154" s="43" t="n">
        <f aca="false">IF(AI154&gt;180,AT154-180,AT154+180)</f>
        <v>346.76200904403</v>
      </c>
      <c r="J154" s="61" t="n">
        <f aca="false">$J$2+K153</f>
        <v>2459732.5</v>
      </c>
      <c r="K154" s="21" t="n">
        <v>153</v>
      </c>
      <c r="L154" s="62" t="n">
        <f aca="false">(J154-2451545)/36525</f>
        <v>0.224161533196441</v>
      </c>
      <c r="M154" s="63" t="n">
        <f aca="false">MOD(280.46061837+360.98564736629*(J154-2451545)+0.000387933*L154^2-L154^3/38710000+$B$7,360)</f>
        <v>265.448449362069</v>
      </c>
      <c r="N154" s="30" t="n">
        <f aca="false">0.606433+1336.855225*L154 - INT(0.606433+1336.855225*L154)</f>
        <v>0.277949897672841</v>
      </c>
      <c r="O154" s="35" t="n">
        <f aca="false">22640*SIN(P154)-4586*SIN(P154-2*R154)+2370*SIN(2*R154)+769*SIN(2*P154)-668*SIN(Q154)-412*SIN(2*S154)-212*SIN(2*P154-2*R154)-206*SIN(P154+Q154-2*R154)+192*SIN(P154+2*R154)-165*SIN(Q154-2*R154)-125*SIN(R154)-110*SIN(P154+Q154)+148*SIN(P154-Q154)-55*SIN(2*S154-2*R154)</f>
        <v>-4086.95361610958</v>
      </c>
      <c r="P154" s="32" t="n">
        <f aca="false">2*PI()*(0.374897+1325.55241*L154 - INT(0.374897+1325.55241*L154))</f>
        <v>3.22175075354712</v>
      </c>
      <c r="Q154" s="36" t="n">
        <f aca="false">2*PI()*(0.993133+99.997361*L154 - INT(0.993133+99.997361*L154))</f>
        <v>2.56790489455295</v>
      </c>
      <c r="R154" s="36" t="n">
        <f aca="false">2*PI()*(0.827361+1236.853086*L154 - INT(0.827361+1236.853086*L154))</f>
        <v>0.516761181974603</v>
      </c>
      <c r="S154" s="36" t="n">
        <f aca="false">2*PI()*(0.259086+1342.227825*L154 - INT(0.259086+1342.227825*L154))</f>
        <v>0.847809991337383</v>
      </c>
      <c r="T154" s="36" t="n">
        <f aca="false">S154+(O154+412*SIN(2*S154)+541*SIN(Q154))/206264.8062</f>
        <v>0.831401275858503</v>
      </c>
      <c r="U154" s="36" t="n">
        <f aca="false">S154-2*R154</f>
        <v>-0.185712372611823</v>
      </c>
      <c r="V154" s="34" t="n">
        <f aca="false">-526*SIN(U154)+44*SIN(P154+U154)-31*SIN(-P154+U154)-23*SIN(Q154+U154)+11*SIN(-Q154+U154)-25*SIN(-2*P154+S154)+21*SIN(-P154+S154)</f>
        <v>43.1695957616669</v>
      </c>
      <c r="W154" s="36" t="n">
        <f aca="false">2*PI()*(N154+O154/1296000-INT(N154+O154/1296000))</f>
        <v>1.72659660291856</v>
      </c>
      <c r="X154" s="35" t="n">
        <f aca="false">W154*180/PI()</f>
        <v>98.9266982688588</v>
      </c>
      <c r="Y154" s="36" t="n">
        <f aca="false">(18520*SIN(T154)+V154)/206264.8062</f>
        <v>0.0665511462841393</v>
      </c>
      <c r="Z154" s="36" t="n">
        <f aca="false">Y154*180/PI()</f>
        <v>3.81309980383893</v>
      </c>
      <c r="AA154" s="36" t="n">
        <f aca="false">COS(Y154)*COS(W154)</f>
        <v>-0.154827228761548</v>
      </c>
      <c r="AB154" s="36" t="n">
        <f aca="false">COS(Y154)*SIN(W154)</f>
        <v>0.985700770591663</v>
      </c>
      <c r="AC154" s="36" t="n">
        <f aca="false">SIN(Y154)</f>
        <v>0.0665020307135162</v>
      </c>
      <c r="AD154" s="36" t="n">
        <f aca="false">COS($A$10*(23.4393-46.815*L154/3600))*AB154-SIN($A$10*(23.4393-46.815*L154/3600))*AC154</f>
        <v>0.87793276804893</v>
      </c>
      <c r="AE154" s="36" t="n">
        <f aca="false">SIN($A$10*(23.4393-46.815*L154/3600))*AB154+COS($A$10*(23.4393-46.815*L154/3600))*AC154</f>
        <v>0.45305913964952</v>
      </c>
      <c r="AF154" s="36" t="n">
        <f aca="false">SQRT(1-AE154*AE154)</f>
        <v>0.891480463038892</v>
      </c>
      <c r="AG154" s="35" t="n">
        <f aca="false">ATAN(AE154/AF154)/$A$10</f>
        <v>26.9401252318905</v>
      </c>
      <c r="AH154" s="36" t="n">
        <f aca="false">IF(24*ATAN(AD154/(AA154+AF154))/PI()&gt;0,24*ATAN(AD154/(AA154+AF154))/PI(),24*ATAN(AD154/(AA154+AF154))/PI()+24)</f>
        <v>6.66676791382054</v>
      </c>
      <c r="AI154" s="63" t="n">
        <f aca="false">IF(M154-15*AH154&gt;0,M154-15*AH154,360+M154-15*AH154)</f>
        <v>165.446930654761</v>
      </c>
      <c r="AJ154" s="32" t="n">
        <f aca="false">0.950724+0.051818*COS(P154)+0.009531*COS(2*R154-P154)+0.007843*COS(2*R154)+0.002824*COS(2*P154)+0.000857*COS(2*R154+P154)+0.000533*COS(2*R154-Q154)*(1-0.002495*(J154-2415020)/36525)+0.000401*COS(2*R154-Q154-P154)*(1-0.002495*(J154-2415020)/36525)+0.00032*COS(P154-Q154)*(1-0.002495*(J154-2415020)/36525)-0.000271*COS(R154)</f>
        <v>0.900032469932548</v>
      </c>
      <c r="AK154" s="36" t="n">
        <f aca="false">ASIN(COS($A$10*$B$5)*COS($A$10*AG154)*COS($A$10*AI154)+SIN($A$10*$B$5)*SIN($A$10*AG154))/$A$10</f>
        <v>-11.9807818539222</v>
      </c>
      <c r="AL154" s="32" t="n">
        <f aca="false">ASIN((0.9983271+0.0016764*COS($A$10*2*$B$5))*COS($A$10*AK154)*SIN($A$10*AJ154))/$A$10</f>
        <v>0.878696462074838</v>
      </c>
      <c r="AM154" s="32" t="n">
        <f aca="false">AK154-AL154</f>
        <v>-12.859478315997</v>
      </c>
      <c r="AN154" s="35" t="n">
        <f aca="false"> MOD(280.4664567 + 360007.6982779*L154/10 + 0.03032028*L154^2/100 + L154^3/49931000,360)</f>
        <v>70.4542327852505</v>
      </c>
      <c r="AO154" s="32" t="n">
        <f aca="false"> AN154 + (1.9146 - 0.004817*L154 - 0.000014*L154^2)*SIN(Q154)+ (0.019993 - 0.000101*L154)*SIN(2*Q154)+ 0.00029*SIN(3*Q154)</f>
        <v>71.4748431416997</v>
      </c>
      <c r="AP154" s="32" t="n">
        <f aca="false">ACOS(COS(W154-$A$10*AO154)*COS(Y154))/$A$10</f>
        <v>27.6950135139918</v>
      </c>
      <c r="AQ154" s="34" t="n">
        <f aca="false">180 - AP154 -0.1468*(1-0.0549*SIN(Q154))*SIN($A$10*AP154)/(1-0.0167*SIN($A$10*AO154))</f>
        <v>152.237726861214</v>
      </c>
      <c r="AR154" s="64" t="n">
        <f aca="false">SIN($A$10*AI154)</f>
        <v>0.251276628566508</v>
      </c>
      <c r="AS154" s="64" t="n">
        <f aca="false">COS($A$10*AI154)*SIN($A$10*$B$5) - TAN($A$10*AG154)*COS($A$10*$B$5)</f>
        <v>-1.06813713354789</v>
      </c>
      <c r="AT154" s="24" t="n">
        <f aca="false">IF(OR(AND(AR154*AS154&gt;0), AND(AR154&lt;0,AS154&gt;0)), MOD(ATAN2(AS154,AR154)/$A$10+360,360),  ATAN2(AS154,AR154)/$A$10)</f>
        <v>166.76200904403</v>
      </c>
      <c r="AU154" s="39" t="n">
        <f aca="false"> 385000.56 + (-20905355*COS(P154) - 3699111*COS(2*R154-P154) - 2955968*COS(2*R154) - 569925*COS(2*P154) + (1-0.002516*L154)*48888*COS(Q154) - 3149*COS(2*S154)  +246158*COS(2*R154-2*P154) -(1 - 0.002516*L154)*152138*COS(2*R154-Q154-P154) -170733*COS(2*R154+P154) -(1 - 0.002516*L154)*204586*COS(2*R154-Q154) -(1 - 0.002516*L154)*129620*COS(Q154-P154)  + 108743*COS(R154) +(1-0.002516*L154)*104755*COS(Q154+P154) +10321*COS(2*R154-2*S154) +79661*COS(P154-2*S154) -34782*COS(4*R154-P154) -23210*COS(3*P154)  -21636*COS(4*R154-2*P154) +(1 - 0.002516*L154)*24208*COS(2*R154+Q154-P154) +(1 - 0.002516*L154)*30824*COS(2*R154+Q154) -8379*COS(R154-P154) -(1 - 0.002516*L154)*16675*COS(R154+Q154)  -(1 - 0.002516*L154)*12831*COS(2*R154-Q154+P154) -10445*COS(2*R154+2*P154) -11650*COS(4*R154) +14403*COS(2*R154-3*P154) -(1-0.002516*L154)*7003*COS(Q154-2*P154)  + (1 - 0.002516*L154)*10056*COS(2*R154-Q154-2*P154) +6322*COS(R154+P154) -(1 - 0.002516*L154)*(1-0.002516*L154)*9884*COS(2*R154-2*Q154) +(1-0.002516*L154)*5751*COS(Q154+2*P154) - (1-0.002516*L154)^2*4950*COS(2*R154-2*Q154-P154)  +4130*COS(2*R154+P154-2*S154) -(1-0.002516*L154)*3958*COS(4*R154-Q154-P154) +3258*COS(3*R154-P154) +(1 - 0.002516*L154)*2616*COS(2*R154+Q154+P154) -(1 - 0.002516*L154)*1897*COS(4*R154-Q154-2*P154)  -(1-0.002516*L154)^2*2117*COS(2*Q154-P154) +(1-0.002516*L154)^2*2354*COS(2*R154+2*Q154-P154) -1423*COS(4*R154+P154) -1117*COS(4*P154) -(1-0.002516*L154)*1571*COS(4*R154-Q154)  -1739*COS(R154-2*P154) -4421*COS(2*P154-2*S154) +(1-0.002516*L154)^2*1165*COS(2*Q154+P154) +8752*COS(2*R154-P154-2*S154))/1000</f>
        <v>406190.339656717</v>
      </c>
      <c r="AV154" s="54" t="n">
        <f aca="false">ATAN(0.99664719*TAN($A$10*input!$E$2))</f>
        <v>0.871010436227447</v>
      </c>
      <c r="AW154" s="54" t="n">
        <f aca="false">COS(AV154)</f>
        <v>0.644053912545845</v>
      </c>
      <c r="AX154" s="54" t="n">
        <f aca="false">0.99664719*SIN(AV154)</f>
        <v>0.762415269897027</v>
      </c>
      <c r="AY154" s="54" t="n">
        <f aca="false">6378.14/AU154</f>
        <v>0.0157023429099529</v>
      </c>
      <c r="AZ154" s="55" t="n">
        <f aca="false">M154-15*AH154</f>
        <v>165.446930654761</v>
      </c>
      <c r="BA154" s="56" t="n">
        <f aca="false">COS($A$10*AG154)*SIN($A$10*AZ154)</f>
        <v>0.224008205185322</v>
      </c>
      <c r="BB154" s="56" t="n">
        <f aca="false">COS($A$10*AG154)*COS($A$10*AZ154)-AW154*AY154</f>
        <v>-0.872990748090734</v>
      </c>
      <c r="BC154" s="56" t="n">
        <f aca="false">SIN($A$10*AG154)-AX154*AY154</f>
        <v>0.441087433641813</v>
      </c>
      <c r="BD154" s="57" t="n">
        <f aca="false">SQRT(BA154^2+BB154^2+BC154^2)</f>
        <v>1.00341947676886</v>
      </c>
      <c r="BE154" s="58" t="n">
        <f aca="false">AU154*BD154</f>
        <v>407579.298086907</v>
      </c>
    </row>
    <row r="155" customFormat="false" ht="15" hidden="false" customHeight="false" outlineLevel="0" collapsed="false">
      <c r="D155" s="41" t="n">
        <f aca="false">K155-INT(275*E155/9)+IF($A$8="common year",2,1)*INT((E155+9)/12)+30</f>
        <v>3</v>
      </c>
      <c r="E155" s="41" t="n">
        <f aca="false">IF(K155&lt;32,1,INT(9*(IF($A$8="common year",2,1)+K155)/275+0.98))</f>
        <v>6</v>
      </c>
      <c r="F155" s="42" t="n">
        <f aca="false">AM155</f>
        <v>-11.0160485960369</v>
      </c>
      <c r="G155" s="60" t="n">
        <f aca="false">F155+1.02/(TAN($A$10*(F155+10.3/(F155+5.11)))*60)</f>
        <v>-11.091116774195</v>
      </c>
      <c r="H155" s="43" t="n">
        <f aca="false">100*(1+COS($A$10*AQ155))/2</f>
        <v>10.9467774410511</v>
      </c>
      <c r="I155" s="43" t="n">
        <f aca="false">IF(AI155&gt;180,AT155-180,AT155+180)</f>
        <v>335.767739081429</v>
      </c>
      <c r="J155" s="61" t="n">
        <f aca="false">$J$2+K154</f>
        <v>2459733.5</v>
      </c>
      <c r="K155" s="21" t="n">
        <v>154</v>
      </c>
      <c r="L155" s="62" t="n">
        <f aca="false">(J155-2451545)/36525</f>
        <v>0.224188911704312</v>
      </c>
      <c r="M155" s="63" t="n">
        <f aca="false">MOD(280.46061837+360.98564736629*(J155-2451545)+0.000387933*L155^2-L155^3/38710000+$B$7,360)</f>
        <v>266.434096733108</v>
      </c>
      <c r="N155" s="30" t="n">
        <f aca="false">0.606433+1336.855225*L155 - INT(0.606433+1336.855225*L155)</f>
        <v>0.314550998973289</v>
      </c>
      <c r="O155" s="35" t="n">
        <f aca="false">22640*SIN(P155)-4586*SIN(P155-2*R155)+2370*SIN(2*R155)+769*SIN(2*P155)-668*SIN(Q155)-412*SIN(2*S155)-212*SIN(2*P155-2*R155)-206*SIN(P155+Q155-2*R155)+192*SIN(P155+2*R155)-165*SIN(Q155-2*R155)-125*SIN(R155)-110*SIN(P155+Q155)+148*SIN(P155-Q155)-55*SIN(2*S155-2*R155)</f>
        <v>-8905.12428063617</v>
      </c>
      <c r="P155" s="32" t="n">
        <f aca="false">2*PI()*(0.374897+1325.55241*L155 - INT(0.374897+1325.55241*L155))</f>
        <v>3.44977789732294</v>
      </c>
      <c r="Q155" s="36" t="n">
        <f aca="false">2*PI()*(0.993133+99.997361*L155 - INT(0.993133+99.997361*L155))</f>
        <v>2.58510686441996</v>
      </c>
      <c r="R155" s="36" t="n">
        <f aca="false">2*PI()*(0.827361+1236.853086*L155 - INT(0.827361+1236.853086*L155))</f>
        <v>0.729529892093627</v>
      </c>
      <c r="S155" s="36" t="n">
        <f aca="false">2*PI()*(0.259086+1342.227825*L155 - INT(0.259086+1342.227825*L155))</f>
        <v>1.07870571067839</v>
      </c>
      <c r="T155" s="36" t="n">
        <f aca="false">S155+(O155+412*SIN(2*S155)+541*SIN(Q155))/206264.8062</f>
        <v>1.03858134930582</v>
      </c>
      <c r="U155" s="36" t="n">
        <f aca="false">S155-2*R155</f>
        <v>-0.380354073508867</v>
      </c>
      <c r="V155" s="34" t="n">
        <f aca="false">-526*SIN(U155)+44*SIN(P155+U155)-31*SIN(-P155+U155)-23*SIN(Q155+U155)+11*SIN(-Q155+U155)-25*SIN(-2*P155+S155)+21*SIN(-P155+S155)</f>
        <v>132.516083654324</v>
      </c>
      <c r="W155" s="36" t="n">
        <f aca="false">2*PI()*(N155+O155/1296000-INT(N155+O155/1296000))</f>
        <v>1.9332089542753</v>
      </c>
      <c r="X155" s="35" t="n">
        <f aca="false">W155*180/PI()</f>
        <v>110.764713996874</v>
      </c>
      <c r="Y155" s="36" t="n">
        <f aca="false">(18520*SIN(T155)+V155)/206264.8062</f>
        <v>0.0780110115157197</v>
      </c>
      <c r="Z155" s="36" t="n">
        <f aca="false">Y155*180/PI()</f>
        <v>4.4697017153972</v>
      </c>
      <c r="AA155" s="36" t="n">
        <f aca="false">COS(Y155)*COS(W155)</f>
        <v>-0.353452934850202</v>
      </c>
      <c r="AB155" s="36" t="n">
        <f aca="false">COS(Y155)*SIN(W155)</f>
        <v>0.932200429218916</v>
      </c>
      <c r="AC155" s="36" t="n">
        <f aca="false">SIN(Y155)</f>
        <v>0.0779319100872456</v>
      </c>
      <c r="AD155" s="36" t="n">
        <f aca="false">COS($A$10*(23.4393-46.815*L155/3600))*AB155-SIN($A$10*(23.4393-46.815*L155/3600))*AC155</f>
        <v>0.824300074915473</v>
      </c>
      <c r="AE155" s="36" t="n">
        <f aca="false">SIN($A$10*(23.4393-46.815*L155/3600))*AB155+COS($A$10*(23.4393-46.815*L155/3600))*AC155</f>
        <v>0.442267350524684</v>
      </c>
      <c r="AF155" s="36" t="n">
        <f aca="false">SQRT(1-AE155*AE155)</f>
        <v>0.896883264789725</v>
      </c>
      <c r="AG155" s="35" t="n">
        <f aca="false">ATAN(AE155/AF155)/$A$10</f>
        <v>26.248636743887</v>
      </c>
      <c r="AH155" s="36" t="n">
        <f aca="false">IF(24*ATAN(AD155/(AA155+AF155))/PI()&gt;0,24*ATAN(AD155/(AA155+AF155))/PI(),24*ATAN(AD155/(AA155+AF155))/PI()+24)</f>
        <v>7.54728308679304</v>
      </c>
      <c r="AI155" s="63" t="n">
        <f aca="false">IF(M155-15*AH155&gt;0,M155-15*AH155,360+M155-15*AH155)</f>
        <v>153.224850431213</v>
      </c>
      <c r="AJ155" s="32" t="n">
        <f aca="false">0.950724+0.051818*COS(P155)+0.009531*COS(2*R155-P155)+0.007843*COS(2*R155)+0.002824*COS(2*P155)+0.000857*COS(2*R155+P155)+0.000533*COS(2*R155-Q155)*(1-0.002495*(J155-2415020)/36525)+0.000401*COS(2*R155-Q155-P155)*(1-0.002495*(J155-2415020)/36525)+0.00032*COS(P155-Q155)*(1-0.002495*(J155-2415020)/36525)-0.000271*COS(R155)</f>
        <v>0.900986996625701</v>
      </c>
      <c r="AK155" s="36" t="n">
        <f aca="false">ASIN(COS($A$10*$B$5)*COS($A$10*AG155)*COS($A$10*AI155)+SIN($A$10*$B$5)*SIN($A$10*AG155))/$A$10</f>
        <v>-10.1308524622686</v>
      </c>
      <c r="AL155" s="32" t="n">
        <f aca="false">ASIN((0.9983271+0.0016764*COS($A$10*2*$B$5))*COS($A$10*AK155)*SIN($A$10*AJ155))/$A$10</f>
        <v>0.885196133768297</v>
      </c>
      <c r="AM155" s="32" t="n">
        <f aca="false">AK155-AL155</f>
        <v>-11.0160485960369</v>
      </c>
      <c r="AN155" s="35" t="n">
        <f aca="false"> MOD(280.4664567 + 360007.6982779*L155/10 + 0.03032028*L155^2/100 + L155^3/49931000,360)</f>
        <v>71.439880149077</v>
      </c>
      <c r="AO155" s="32" t="n">
        <f aca="false"> AN155 + (1.9146 - 0.004817*L155 - 0.000014*L155^2)*SIN(Q155)+ (0.019993 - 0.000101*L155)*SIN(2*Q155)+ 0.00029*SIN(3*Q155)</f>
        <v>72.4329864503392</v>
      </c>
      <c r="AP155" s="32" t="n">
        <f aca="false">ACOS(COS(W155-$A$10*AO155)*COS(Y155))/$A$10</f>
        <v>38.5515880972272</v>
      </c>
      <c r="AQ155" s="34" t="n">
        <f aca="false">180 - AP155 -0.1468*(1-0.0549*SIN(Q155))*SIN($A$10*AP155)/(1-0.0167*SIN($A$10*AO155))</f>
        <v>141.358139128331</v>
      </c>
      <c r="AR155" s="64" t="n">
        <f aca="false">SIN($A$10*AI155)</f>
        <v>0.450490364325057</v>
      </c>
      <c r="AS155" s="64" t="n">
        <f aca="false">COS($A$10*AI155)*SIN($A$10*$B$5) - TAN($A$10*AG155)*COS($A$10*$B$5)</f>
        <v>-1.0008789024829</v>
      </c>
      <c r="AT155" s="24" t="n">
        <f aca="false">IF(OR(AND(AR155*AS155&gt;0), AND(AR155&lt;0,AS155&gt;0)), MOD(ATAN2(AS155,AR155)/$A$10+360,360),  ATAN2(AS155,AR155)/$A$10)</f>
        <v>155.767739081429</v>
      </c>
      <c r="AU155" s="39" t="n">
        <f aca="false"> 385000.56 + (-20905355*COS(P155) - 3699111*COS(2*R155-P155) - 2955968*COS(2*R155) - 569925*COS(2*P155) + (1-0.002516*L155)*48888*COS(Q155) - 3149*COS(2*S155)  +246158*COS(2*R155-2*P155) -(1 - 0.002516*L155)*152138*COS(2*R155-Q155-P155) -170733*COS(2*R155+P155) -(1 - 0.002516*L155)*204586*COS(2*R155-Q155) -(1 - 0.002516*L155)*129620*COS(Q155-P155)  + 108743*COS(R155) +(1-0.002516*L155)*104755*COS(Q155+P155) +10321*COS(2*R155-2*S155) +79661*COS(P155-2*S155) -34782*COS(4*R155-P155) -23210*COS(3*P155)  -21636*COS(4*R155-2*P155) +(1 - 0.002516*L155)*24208*COS(2*R155+Q155-P155) +(1 - 0.002516*L155)*30824*COS(2*R155+Q155) -8379*COS(R155-P155) -(1 - 0.002516*L155)*16675*COS(R155+Q155)  -(1 - 0.002516*L155)*12831*COS(2*R155-Q155+P155) -10445*COS(2*R155+2*P155) -11650*COS(4*R155) +14403*COS(2*R155-3*P155) -(1-0.002516*L155)*7003*COS(Q155-2*P155)  + (1 - 0.002516*L155)*10056*COS(2*R155-Q155-2*P155) +6322*COS(R155+P155) -(1 - 0.002516*L155)*(1-0.002516*L155)*9884*COS(2*R155-2*Q155) +(1-0.002516*L155)*5751*COS(Q155+2*P155) - (1-0.002516*L155)^2*4950*COS(2*R155-2*Q155-P155)  +4130*COS(2*R155+P155-2*S155) -(1-0.002516*L155)*3958*COS(4*R155-Q155-P155) +3258*COS(3*R155-P155) +(1 - 0.002516*L155)*2616*COS(2*R155+Q155+P155) -(1 - 0.002516*L155)*1897*COS(4*R155-Q155-2*P155)  -(1-0.002516*L155)^2*2117*COS(2*Q155-P155) +(1-0.002516*L155)^2*2354*COS(2*R155+2*Q155-P155) -1423*COS(4*R155+P155) -1117*COS(4*P155) -(1-0.002516*L155)*1571*COS(4*R155-Q155)  -1739*COS(R155-2*P155) -4421*COS(2*P155-2*S155) +(1-0.002516*L155)^2*1165*COS(2*Q155+P155) +8752*COS(2*R155-P155-2*S155))/1000</f>
        <v>405807.186146146</v>
      </c>
      <c r="AV155" s="54" t="n">
        <f aca="false">ATAN(0.99664719*TAN($A$10*input!$E$2))</f>
        <v>0.871010436227447</v>
      </c>
      <c r="AW155" s="54" t="n">
        <f aca="false">COS(AV155)</f>
        <v>0.644053912545845</v>
      </c>
      <c r="AX155" s="54" t="n">
        <f aca="false">0.99664719*SIN(AV155)</f>
        <v>0.762415269897027</v>
      </c>
      <c r="AY155" s="54" t="n">
        <f aca="false">6378.14/AU155</f>
        <v>0.0157171686893268</v>
      </c>
      <c r="AZ155" s="55" t="n">
        <f aca="false">M155-15*AH155</f>
        <v>153.224850431213</v>
      </c>
      <c r="BA155" s="56" t="n">
        <f aca="false">COS($A$10*AG155)*SIN($A$10*AZ155)</f>
        <v>0.40403726871217</v>
      </c>
      <c r="BB155" s="56" t="n">
        <f aca="false">COS($A$10*AG155)*COS($A$10*AZ155)-AW155*AY155</f>
        <v>-0.810843302044709</v>
      </c>
      <c r="BC155" s="56" t="n">
        <f aca="false">SIN($A$10*AG155)-AX155*AY155</f>
        <v>0.430284341116394</v>
      </c>
      <c r="BD155" s="57" t="n">
        <f aca="false">SQRT(BA155^2+BB155^2+BC155^2)</f>
        <v>1.00292451819124</v>
      </c>
      <c r="BE155" s="58" t="n">
        <f aca="false">AU155*BD155</f>
        <v>406993.976644165</v>
      </c>
    </row>
    <row r="156" customFormat="false" ht="15" hidden="false" customHeight="false" outlineLevel="0" collapsed="false">
      <c r="D156" s="41" t="n">
        <f aca="false">K156-INT(275*E156/9)+IF($A$8="common year",2,1)*INT((E156+9)/12)+30</f>
        <v>4</v>
      </c>
      <c r="E156" s="41" t="n">
        <f aca="false">IF(K156&lt;32,1,INT(9*(IF($A$8="common year",2,1)+K156)/275+0.98))</f>
        <v>6</v>
      </c>
      <c r="F156" s="42" t="n">
        <f aca="false">AM156</f>
        <v>-8.97699475851466</v>
      </c>
      <c r="G156" s="60" t="n">
        <f aca="false">F156+1.02/(TAN($A$10*(F156+10.3/(F156+5.11)))*60)</f>
        <v>-9.05951566734549</v>
      </c>
      <c r="H156" s="43" t="n">
        <f aca="false">100*(1+COS($A$10*AQ156))/2</f>
        <v>17.5625281569728</v>
      </c>
      <c r="I156" s="43" t="n">
        <f aca="false">IF(AI156&gt;180,AT156-180,AT156+180)</f>
        <v>324.844618554899</v>
      </c>
      <c r="J156" s="61" t="n">
        <f aca="false">$J$2+K155</f>
        <v>2459734.5</v>
      </c>
      <c r="K156" s="21" t="n">
        <v>155</v>
      </c>
      <c r="L156" s="62" t="n">
        <f aca="false">(J156-2451545)/36525</f>
        <v>0.224216290212183</v>
      </c>
      <c r="M156" s="63" t="n">
        <f aca="false">MOD(280.46061837+360.98564736629*(J156-2451545)+0.000387933*L156^2-L156^3/38710000+$B$7,360)</f>
        <v>267.419744103681</v>
      </c>
      <c r="N156" s="30" t="n">
        <f aca="false">0.606433+1336.855225*L156 - INT(0.606433+1336.855225*L156)</f>
        <v>0.351152100273737</v>
      </c>
      <c r="O156" s="35" t="n">
        <f aca="false">22640*SIN(P156)-4586*SIN(P156-2*R156)+2370*SIN(2*R156)+769*SIN(2*P156)-668*SIN(Q156)-412*SIN(2*S156)-212*SIN(2*P156-2*R156)-206*SIN(P156+Q156-2*R156)+192*SIN(P156+2*R156)-165*SIN(Q156-2*R156)-125*SIN(R156)-110*SIN(P156+Q156)+148*SIN(P156-Q156)-55*SIN(2*S156-2*R156)</f>
        <v>-13551.3660184295</v>
      </c>
      <c r="P156" s="32" t="n">
        <f aca="false">2*PI()*(0.374897+1325.55241*L156 - INT(0.374897+1325.55241*L156))</f>
        <v>3.6778050410984</v>
      </c>
      <c r="Q156" s="36" t="n">
        <f aca="false">2*PI()*(0.993133+99.997361*L156 - INT(0.993133+99.997361*L156))</f>
        <v>2.60230883428692</v>
      </c>
      <c r="R156" s="36" t="n">
        <f aca="false">2*PI()*(0.827361+1236.853086*L156 - INT(0.827361+1236.853086*L156))</f>
        <v>0.942298602212294</v>
      </c>
      <c r="S156" s="36" t="n">
        <f aca="false">2*PI()*(0.259086+1342.227825*L156 - INT(0.259086+1342.227825*L156))</f>
        <v>1.30960143001903</v>
      </c>
      <c r="T156" s="36" t="n">
        <f aca="false">S156+(O156+412*SIN(2*S156)+541*SIN(Q156))/206264.8062</f>
        <v>1.24624606368354</v>
      </c>
      <c r="U156" s="36" t="n">
        <f aca="false">S156-2*R156</f>
        <v>-0.574995774405554</v>
      </c>
      <c r="V156" s="34" t="n">
        <f aca="false">-526*SIN(U156)+44*SIN(P156+U156)-31*SIN(-P156+U156)-23*SIN(Q156+U156)+11*SIN(-Q156+U156)-25*SIN(-2*P156+S156)+21*SIN(-P156+S156)</f>
        <v>219.18225061661</v>
      </c>
      <c r="W156" s="36" t="n">
        <f aca="false">2*PI()*(N156+O156/1296000-INT(N156+O156/1296000))</f>
        <v>2.14065484059062</v>
      </c>
      <c r="X156" s="35" t="n">
        <f aca="false">W156*180/PI()</f>
        <v>122.650487760093</v>
      </c>
      <c r="Y156" s="36" t="n">
        <f aca="false">(18520*SIN(T156)+V156)/206264.8062</f>
        <v>0.0861626945465108</v>
      </c>
      <c r="Z156" s="36" t="n">
        <f aca="false">Y156*180/PI()</f>
        <v>4.93675874898994</v>
      </c>
      <c r="AA156" s="36" t="n">
        <f aca="false">COS(Y156)*COS(W156)</f>
        <v>-0.537511489982637</v>
      </c>
      <c r="AB156" s="36" t="n">
        <f aca="false">COS(Y156)*SIN(W156)</f>
        <v>0.838853826362752</v>
      </c>
      <c r="AC156" s="36" t="n">
        <f aca="false">SIN(Y156)</f>
        <v>0.0860561219973137</v>
      </c>
      <c r="AD156" s="36" t="n">
        <f aca="false">COS($A$10*(23.4393-46.815*L156/3600))*AB156-SIN($A$10*(23.4393-46.815*L156/3600))*AC156</f>
        <v>0.735423112538404</v>
      </c>
      <c r="AE156" s="36" t="n">
        <f aca="false">SIN($A$10*(23.4393-46.815*L156/3600))*AB156+COS($A$10*(23.4393-46.815*L156/3600))*AC156</f>
        <v>0.412594526964394</v>
      </c>
      <c r="AF156" s="36" t="n">
        <f aca="false">SQRT(1-AE156*AE156)</f>
        <v>0.910914790921208</v>
      </c>
      <c r="AG156" s="35" t="n">
        <f aca="false">ATAN(AE156/AF156)/$A$10</f>
        <v>24.367923467373</v>
      </c>
      <c r="AH156" s="36" t="n">
        <f aca="false">IF(24*ATAN(AD156/(AA156+AF156))/PI()&gt;0,24*ATAN(AD156/(AA156+AF156))/PI(),24*ATAN(AD156/(AA156+AF156))/PI()+24)</f>
        <v>8.41083993215882</v>
      </c>
      <c r="AI156" s="63" t="n">
        <f aca="false">IF(M156-15*AH156&gt;0,M156-15*AH156,360+M156-15*AH156)</f>
        <v>141.257145121299</v>
      </c>
      <c r="AJ156" s="32" t="n">
        <f aca="false">0.950724+0.051818*COS(P156)+0.009531*COS(2*R156-P156)+0.007843*COS(2*R156)+0.002824*COS(2*P156)+0.000857*COS(2*R156+P156)+0.000533*COS(2*R156-Q156)*(1-0.002495*(J156-2415020)/36525)+0.000401*COS(2*R156-Q156-P156)*(1-0.002495*(J156-2415020)/36525)+0.00032*COS(P156-Q156)*(1-0.002495*(J156-2415020)/36525)-0.000271*COS(R156)</f>
        <v>0.903917082273812</v>
      </c>
      <c r="AK156" s="36" t="n">
        <f aca="false">ASIN(COS($A$10*$B$5)*COS($A$10*AG156)*COS($A$10*AI156)+SIN($A$10*$B$5)*SIN($A$10*AG156))/$A$10</f>
        <v>-8.08381805869809</v>
      </c>
      <c r="AL156" s="32" t="n">
        <f aca="false">ASIN((0.9983271+0.0016764*COS($A$10*2*$B$5))*COS($A$10*AK156)*SIN($A$10*AJ156))/$A$10</f>
        <v>0.893176699816577</v>
      </c>
      <c r="AM156" s="32" t="n">
        <f aca="false">AK156-AL156</f>
        <v>-8.97699475851466</v>
      </c>
      <c r="AN156" s="35" t="n">
        <f aca="false"> MOD(280.4664567 + 360007.6982779*L156/10 + 0.03032028*L156^2/100 + L156^3/49931000,360)</f>
        <v>72.4255275129035</v>
      </c>
      <c r="AO156" s="32" t="n">
        <f aca="false"> AN156 + (1.9146 - 0.004817*L156 - 0.000014*L156^2)*SIN(Q156)+ (0.019993 - 0.000101*L156)*SIN(2*Q156)+ 0.00029*SIN(3*Q156)</f>
        <v>73.3908511196072</v>
      </c>
      <c r="AP156" s="32" t="n">
        <f aca="false">ACOS(COS(W156-$A$10*AO156)*COS(Y156))/$A$10</f>
        <v>49.4424687757196</v>
      </c>
      <c r="AQ156" s="34" t="n">
        <f aca="false">180 - AP156 -0.1468*(1-0.0549*SIN(Q156))*SIN($A$10*AP156)/(1-0.0167*SIN($A$10*AO156))</f>
        <v>130.447380998818</v>
      </c>
      <c r="AR156" s="64" t="n">
        <f aca="false">SIN($A$10*AI156)</f>
        <v>0.625826211127051</v>
      </c>
      <c r="AS156" s="64" t="n">
        <f aca="false">COS($A$10*AI156)*SIN($A$10*$B$5) - TAN($A$10*AG156)*COS($A$10*$B$5)</f>
        <v>-0.88863355857727</v>
      </c>
      <c r="AT156" s="24" t="n">
        <f aca="false">IF(OR(AND(AR156*AS156&gt;0), AND(AR156&lt;0,AS156&gt;0)), MOD(ATAN2(AS156,AR156)/$A$10+360,360),  ATAN2(AS156,AR156)/$A$10)</f>
        <v>144.844618554899</v>
      </c>
      <c r="AU156" s="39" t="n">
        <f aca="false"> 385000.56 + (-20905355*COS(P156) - 3699111*COS(2*R156-P156) - 2955968*COS(2*R156) - 569925*COS(2*P156) + (1-0.002516*L156)*48888*COS(Q156) - 3149*COS(2*S156)  +246158*COS(2*R156-2*P156) -(1 - 0.002516*L156)*152138*COS(2*R156-Q156-P156) -170733*COS(2*R156+P156) -(1 - 0.002516*L156)*204586*COS(2*R156-Q156) -(1 - 0.002516*L156)*129620*COS(Q156-P156)  + 108743*COS(R156) +(1-0.002516*L156)*104755*COS(Q156+P156) +10321*COS(2*R156-2*S156) +79661*COS(P156-2*S156) -34782*COS(4*R156-P156) -23210*COS(3*P156)  -21636*COS(4*R156-2*P156) +(1 - 0.002516*L156)*24208*COS(2*R156+Q156-P156) +(1 - 0.002516*L156)*30824*COS(2*R156+Q156) -8379*COS(R156-P156) -(1 - 0.002516*L156)*16675*COS(R156+Q156)  -(1 - 0.002516*L156)*12831*COS(2*R156-Q156+P156) -10445*COS(2*R156+2*P156) -11650*COS(4*R156) +14403*COS(2*R156-3*P156) -(1-0.002516*L156)*7003*COS(Q156-2*P156)  + (1 - 0.002516*L156)*10056*COS(2*R156-Q156-2*P156) +6322*COS(R156+P156) -(1 - 0.002516*L156)*(1-0.002516*L156)*9884*COS(2*R156-2*Q156) +(1-0.002516*L156)*5751*COS(Q156+2*P156) - (1-0.002516*L156)^2*4950*COS(2*R156-2*Q156-P156)  +4130*COS(2*R156+P156-2*S156) -(1-0.002516*L156)*3958*COS(4*R156-Q156-P156) +3258*COS(3*R156-P156) +(1 - 0.002516*L156)*2616*COS(2*R156+Q156+P156) -(1 - 0.002516*L156)*1897*COS(4*R156-Q156-2*P156)  -(1-0.002516*L156)^2*2117*COS(2*Q156-P156) +(1-0.002516*L156)^2*2354*COS(2*R156+2*Q156-P156) -1423*COS(4*R156+P156) -1117*COS(4*P156) -(1-0.002516*L156)*1571*COS(4*R156-Q156)  -1739*COS(R156-2*P156) -4421*COS(2*P156-2*S156) +(1-0.002516*L156)^2*1165*COS(2*Q156+P156) +8752*COS(2*R156-P156-2*S156))/1000</f>
        <v>404500.337438493</v>
      </c>
      <c r="AV156" s="54" t="n">
        <f aca="false">ATAN(0.99664719*TAN($A$10*input!$E$2))</f>
        <v>0.871010436227447</v>
      </c>
      <c r="AW156" s="54" t="n">
        <f aca="false">COS(AV156)</f>
        <v>0.644053912545845</v>
      </c>
      <c r="AX156" s="54" t="n">
        <f aca="false">0.99664719*SIN(AV156)</f>
        <v>0.762415269897027</v>
      </c>
      <c r="AY156" s="54" t="n">
        <f aca="false">6378.14/AU156</f>
        <v>0.0157679472911931</v>
      </c>
      <c r="AZ156" s="55" t="n">
        <f aca="false">M156-15*AH156</f>
        <v>141.257145121299</v>
      </c>
      <c r="BA156" s="56" t="n">
        <f aca="false">COS($A$10*AG156)*SIN($A$10*AZ156)</f>
        <v>0.570074352261809</v>
      </c>
      <c r="BB156" s="56" t="n">
        <f aca="false">COS($A$10*AG156)*COS($A$10*AZ156)-AW156*AY156</f>
        <v>-0.720634816159979</v>
      </c>
      <c r="BC156" s="56" t="n">
        <f aca="false">SIN($A$10*AG156)-AX156*AY156</f>
        <v>0.400572803174657</v>
      </c>
      <c r="BD156" s="57" t="n">
        <f aca="false">SQRT(BA156^2+BB156^2+BC156^2)</f>
        <v>1.00237611504457</v>
      </c>
      <c r="BE156" s="58" t="n">
        <f aca="false">AU156*BD156</f>
        <v>405461.476775816</v>
      </c>
    </row>
    <row r="157" customFormat="false" ht="15" hidden="false" customHeight="false" outlineLevel="0" collapsed="false">
      <c r="D157" s="41" t="n">
        <f aca="false">K157-INT(275*E157/9)+IF($A$8="common year",2,1)*INT((E157+9)/12)+30</f>
        <v>5</v>
      </c>
      <c r="E157" s="41" t="n">
        <f aca="false">IF(K157&lt;32,1,INT(9*(IF($A$8="common year",2,1)+K157)/275+0.98))</f>
        <v>6</v>
      </c>
      <c r="F157" s="42" t="n">
        <f aca="false">AM157</f>
        <v>-6.79199292228925</v>
      </c>
      <c r="G157" s="60" t="n">
        <f aca="false">F157+1.02/(TAN($A$10*(F157+10.3/(F157+5.11)))*60)</f>
        <v>-6.8661255810494</v>
      </c>
      <c r="H157" s="43" t="n">
        <f aca="false">100*(1+COS($A$10*AQ157))/2</f>
        <v>25.4108303696067</v>
      </c>
      <c r="I157" s="43" t="n">
        <f aca="false">IF(AI157&gt;180,AT157-180,AT157+180)</f>
        <v>313.923384337982</v>
      </c>
      <c r="J157" s="61" t="n">
        <f aca="false">$J$2+K156</f>
        <v>2459735.5</v>
      </c>
      <c r="K157" s="21" t="n">
        <v>156</v>
      </c>
      <c r="L157" s="62" t="n">
        <f aca="false">(J157-2451545)/36525</f>
        <v>0.224243668720055</v>
      </c>
      <c r="M157" s="63" t="n">
        <f aca="false">MOD(280.46061837+360.98564736629*(J157-2451545)+0.000387933*L157^2-L157^3/38710000+$B$7,360)</f>
        <v>268.405391475186</v>
      </c>
      <c r="N157" s="30" t="n">
        <f aca="false">0.606433+1336.855225*L157 - INT(0.606433+1336.855225*L157)</f>
        <v>0.387753201574242</v>
      </c>
      <c r="O157" s="35" t="n">
        <f aca="false">22640*SIN(P157)-4586*SIN(P157-2*R157)+2370*SIN(2*R157)+769*SIN(2*P157)-668*SIN(Q157)-412*SIN(2*S157)-212*SIN(2*P157-2*R157)-206*SIN(P157+Q157-2*R157)+192*SIN(P157+2*R157)-165*SIN(Q157-2*R157)-125*SIN(R157)-110*SIN(P157+Q157)+148*SIN(P157-Q157)-55*SIN(2*S157-2*R157)</f>
        <v>-17859.454271729</v>
      </c>
      <c r="P157" s="32" t="n">
        <f aca="false">2*PI()*(0.374897+1325.55241*L157 - INT(0.374897+1325.55241*L157))</f>
        <v>3.90583218487421</v>
      </c>
      <c r="Q157" s="36" t="n">
        <f aca="false">2*PI()*(0.993133+99.997361*L157 - INT(0.993133+99.997361*L157))</f>
        <v>2.61951080415393</v>
      </c>
      <c r="R157" s="36" t="n">
        <f aca="false">2*PI()*(0.827361+1236.853086*L157 - INT(0.827361+1236.853086*L157))</f>
        <v>1.15506731233132</v>
      </c>
      <c r="S157" s="36" t="n">
        <f aca="false">2*PI()*(0.259086+1342.227825*L157 - INT(0.259086+1342.227825*L157))</f>
        <v>1.54049714936004</v>
      </c>
      <c r="T157" s="36" t="n">
        <f aca="false">S157+(O157+412*SIN(2*S157)+541*SIN(Q157))/206264.8062</f>
        <v>1.45534101258958</v>
      </c>
      <c r="U157" s="36" t="n">
        <f aca="false">S157-2*R157</f>
        <v>-0.769637475302599</v>
      </c>
      <c r="V157" s="34" t="n">
        <f aca="false">-526*SIN(U157)+44*SIN(P157+U157)-31*SIN(-P157+U157)-23*SIN(Q157+U157)+11*SIN(-Q157+U157)-25*SIN(-2*P157+S157)+21*SIN(-P157+S157)</f>
        <v>300.860759634424</v>
      </c>
      <c r="W157" s="36" t="n">
        <f aca="false">2*PI()*(N157+O157/1296000-INT(N157+O157/1296000))</f>
        <v>2.34974014126228</v>
      </c>
      <c r="X157" s="35" t="n">
        <f aca="false">W157*180/PI()</f>
        <v>134.630193046802</v>
      </c>
      <c r="Y157" s="36" t="n">
        <f aca="false">(18520*SIN(T157)+V157)/206264.8062</f>
        <v>0.0906483418594085</v>
      </c>
      <c r="Z157" s="36" t="n">
        <f aca="false">Y157*180/PI()</f>
        <v>5.19376740840318</v>
      </c>
      <c r="AA157" s="36" t="n">
        <f aca="false">COS(Y157)*COS(W157)</f>
        <v>-0.699643766617808</v>
      </c>
      <c r="AB157" s="36" t="n">
        <f aca="false">COS(Y157)*SIN(W157)</f>
        <v>0.70873405473214</v>
      </c>
      <c r="AC157" s="36" t="n">
        <f aca="false">SIN(Y157)</f>
        <v>0.0905242481094813</v>
      </c>
      <c r="AD157" s="36" t="n">
        <f aca="false">COS($A$10*(23.4393-46.815*L157/3600))*AB157-SIN($A$10*(23.4393-46.815*L157/3600))*AC157</f>
        <v>0.614260822118114</v>
      </c>
      <c r="AE157" s="36" t="n">
        <f aca="false">SIN($A$10*(23.4393-46.815*L157/3600))*AB157+COS($A$10*(23.4393-46.815*L157/3600))*AC157</f>
        <v>0.364941423030635</v>
      </c>
      <c r="AF157" s="36" t="n">
        <f aca="false">SQRT(1-AE157*AE157)</f>
        <v>0.931030481647285</v>
      </c>
      <c r="AG157" s="35" t="n">
        <f aca="false">ATAN(AE157/AF157)/$A$10</f>
        <v>21.4039778224097</v>
      </c>
      <c r="AH157" s="36" t="n">
        <f aca="false">IF(24*ATAN(AD157/(AA157+AF157))/PI()&gt;0,24*ATAN(AD157/(AA157+AF157))/PI(),24*ATAN(AD157/(AA157+AF157))/PI()+24)</f>
        <v>9.24787256149856</v>
      </c>
      <c r="AI157" s="63" t="n">
        <f aca="false">IF(M157-15*AH157&gt;0,M157-15*AH157,360+M157-15*AH157)</f>
        <v>129.687303052707</v>
      </c>
      <c r="AJ157" s="32" t="n">
        <f aca="false">0.950724+0.051818*COS(P157)+0.009531*COS(2*R157-P157)+0.007843*COS(2*R157)+0.002824*COS(2*P157)+0.000857*COS(2*R157+P157)+0.000533*COS(2*R157-Q157)*(1-0.002495*(J157-2415020)/36525)+0.000401*COS(2*R157-Q157-P157)*(1-0.002495*(J157-2415020)/36525)+0.00032*COS(P157-Q157)*(1-0.002495*(J157-2415020)/36525)-0.000271*COS(R157)</f>
        <v>0.909064308465928</v>
      </c>
      <c r="AK157" s="36" t="n">
        <f aca="false">ASIN(COS($A$10*$B$5)*COS($A$10*AG157)*COS($A$10*AI157)+SIN($A$10*$B$5)*SIN($A$10*AG157))/$A$10</f>
        <v>-5.88950351741446</v>
      </c>
      <c r="AL157" s="32" t="n">
        <f aca="false">ASIN((0.9983271+0.0016764*COS($A$10*2*$B$5))*COS($A$10*AK157)*SIN($A$10*AJ157))/$A$10</f>
        <v>0.90248940487479</v>
      </c>
      <c r="AM157" s="32" t="n">
        <f aca="false">AK157-AL157</f>
        <v>-6.79199292228925</v>
      </c>
      <c r="AN157" s="35" t="n">
        <f aca="false"> MOD(280.4664567 + 360007.6982779*L157/10 + 0.03032028*L157^2/100 + L157^3/49931000,360)</f>
        <v>73.4111748767282</v>
      </c>
      <c r="AO157" s="32" t="n">
        <f aca="false"> AN157 + (1.9146 - 0.004817*L157 - 0.000014*L157^2)*SIN(Q157)+ (0.019993 - 0.000101*L157)*SIN(2*Q157)+ 0.00029*SIN(3*Q157)</f>
        <v>74.3484450889634</v>
      </c>
      <c r="AP157" s="32" t="n">
        <f aca="false">ACOS(COS(W157-$A$10*AO157)*COS(Y157))/$A$10</f>
        <v>60.4159374178143</v>
      </c>
      <c r="AQ157" s="34" t="n">
        <f aca="false">180 - AP157 -0.1468*(1-0.0549*SIN(Q157))*SIN($A$10*AP157)/(1-0.0167*SIN($A$10*AO157))</f>
        <v>119.457866340669</v>
      </c>
      <c r="AR157" s="64" t="n">
        <f aca="false">SIN($A$10*AI157)</f>
        <v>0.76954108936039</v>
      </c>
      <c r="AS157" s="64" t="n">
        <f aca="false">COS($A$10*AI157)*SIN($A$10*$B$5) - TAN($A$10*AG157)*COS($A$10*$B$5)</f>
        <v>-0.741151104288198</v>
      </c>
      <c r="AT157" s="24" t="n">
        <f aca="false">IF(OR(AND(AR157*AS157&gt;0), AND(AR157&lt;0,AS157&gt;0)), MOD(ATAN2(AS157,AR157)/$A$10+360,360),  ATAN2(AS157,AR157)/$A$10)</f>
        <v>133.923384337982</v>
      </c>
      <c r="AU157" s="39" t="n">
        <f aca="false"> 385000.56 + (-20905355*COS(P157) - 3699111*COS(2*R157-P157) - 2955968*COS(2*R157) - 569925*COS(2*P157) + (1-0.002516*L157)*48888*COS(Q157) - 3149*COS(2*S157)  +246158*COS(2*R157-2*P157) -(1 - 0.002516*L157)*152138*COS(2*R157-Q157-P157) -170733*COS(2*R157+P157) -(1 - 0.002516*L157)*204586*COS(2*R157-Q157) -(1 - 0.002516*L157)*129620*COS(Q157-P157)  + 108743*COS(R157) +(1-0.002516*L157)*104755*COS(Q157+P157) +10321*COS(2*R157-2*S157) +79661*COS(P157-2*S157) -34782*COS(4*R157-P157) -23210*COS(3*P157)  -21636*COS(4*R157-2*P157) +(1 - 0.002516*L157)*24208*COS(2*R157+Q157-P157) +(1 - 0.002516*L157)*30824*COS(2*R157+Q157) -8379*COS(R157-P157) -(1 - 0.002516*L157)*16675*COS(R157+Q157)  -(1 - 0.002516*L157)*12831*COS(2*R157-Q157+P157) -10445*COS(2*R157+2*P157) -11650*COS(4*R157) +14403*COS(2*R157-3*P157) -(1-0.002516*L157)*7003*COS(Q157-2*P157)  + (1 - 0.002516*L157)*10056*COS(2*R157-Q157-2*P157) +6322*COS(R157+P157) -(1 - 0.002516*L157)*(1-0.002516*L157)*9884*COS(2*R157-2*Q157) +(1-0.002516*L157)*5751*COS(Q157+2*P157) - (1-0.002516*L157)^2*4950*COS(2*R157-2*Q157-P157)  +4130*COS(2*R157+P157-2*S157) -(1-0.002516*L157)*3958*COS(4*R157-Q157-P157) +3258*COS(3*R157-P157) +(1 - 0.002516*L157)*2616*COS(2*R157+Q157+P157) -(1 - 0.002516*L157)*1897*COS(4*R157-Q157-2*P157)  -(1-0.002516*L157)^2*2117*COS(2*Q157-P157) +(1-0.002516*L157)^2*2354*COS(2*R157+2*Q157-P157) -1423*COS(4*R157+P157) -1117*COS(4*P157) -(1-0.002516*L157)*1571*COS(4*R157-Q157)  -1739*COS(R157-2*P157) -4421*COS(2*P157-2*S157) +(1-0.002516*L157)^2*1165*COS(2*Q157+P157) +8752*COS(2*R157-P157-2*S157))/1000</f>
        <v>402184.080623005</v>
      </c>
      <c r="AV157" s="54" t="n">
        <f aca="false">ATAN(0.99664719*TAN($A$10*input!$E$2))</f>
        <v>0.871010436227447</v>
      </c>
      <c r="AW157" s="54" t="n">
        <f aca="false">COS(AV157)</f>
        <v>0.644053912545845</v>
      </c>
      <c r="AX157" s="54" t="n">
        <f aca="false">0.99664719*SIN(AV157)</f>
        <v>0.762415269897027</v>
      </c>
      <c r="AY157" s="54" t="n">
        <f aca="false">6378.14/AU157</f>
        <v>0.0158587579849504</v>
      </c>
      <c r="AZ157" s="55" t="n">
        <f aca="false">M157-15*AH157</f>
        <v>129.687303052707</v>
      </c>
      <c r="BA157" s="56" t="n">
        <f aca="false">COS($A$10*AG157)*SIN($A$10*AZ157)</f>
        <v>0.71646621107458</v>
      </c>
      <c r="BB157" s="56" t="n">
        <f aca="false">COS($A$10*AG157)*COS($A$10*AZ157)-AW157*AY157</f>
        <v>-0.604767447085431</v>
      </c>
      <c r="BC157" s="56" t="n">
        <f aca="false">SIN($A$10*AG157)-AX157*AY157</f>
        <v>0.352850463781308</v>
      </c>
      <c r="BD157" s="57" t="n">
        <f aca="false">SQRT(BA157^2+BB157^2+BC157^2)</f>
        <v>1.00178388211055</v>
      </c>
      <c r="BE157" s="58" t="n">
        <f aca="false">AU157*BD157</f>
        <v>402901.529609575</v>
      </c>
    </row>
    <row r="158" customFormat="false" ht="15" hidden="false" customHeight="false" outlineLevel="0" collapsed="false">
      <c r="D158" s="41" t="n">
        <f aca="false">K158-INT(275*E158/9)+IF($A$8="common year",2,1)*INT((E158+9)/12)+30</f>
        <v>6</v>
      </c>
      <c r="E158" s="41" t="n">
        <f aca="false">IF(K158&lt;32,1,INT(9*(IF($A$8="common year",2,1)+K158)/275+0.98))</f>
        <v>6</v>
      </c>
      <c r="F158" s="42" t="n">
        <f aca="false">AM158</f>
        <v>-4.50403707463859</v>
      </c>
      <c r="G158" s="60" t="n">
        <f aca="false">F158+1.02/(TAN($A$10*(F158+10.3/(F158+5.11)))*60)</f>
        <v>-4.42731512427713</v>
      </c>
      <c r="H158" s="43" t="n">
        <f aca="false">100*(1+COS($A$10*AQ158))/2</f>
        <v>34.2754333898959</v>
      </c>
      <c r="I158" s="43" t="n">
        <f aca="false">IF(AI158&gt;180,AT158-180,AT158+180)</f>
        <v>302.920276527593</v>
      </c>
      <c r="J158" s="61" t="n">
        <f aca="false">$J$2+K157</f>
        <v>2459736.5</v>
      </c>
      <c r="K158" s="21" t="n">
        <v>157</v>
      </c>
      <c r="L158" s="62" t="n">
        <f aca="false">(J158-2451545)/36525</f>
        <v>0.224271047227926</v>
      </c>
      <c r="M158" s="63" t="n">
        <f aca="false">MOD(280.46061837+360.98564736629*(J158-2451545)+0.000387933*L158^2-L158^3/38710000+$B$7,360)</f>
        <v>269.391038846225</v>
      </c>
      <c r="N158" s="30" t="n">
        <f aca="false">0.606433+1336.855225*L158 - INT(0.606433+1336.855225*L158)</f>
        <v>0.42435430287469</v>
      </c>
      <c r="O158" s="35" t="n">
        <f aca="false">22640*SIN(P158)-4586*SIN(P158-2*R158)+2370*SIN(2*R158)+769*SIN(2*P158)-668*SIN(Q158)-412*SIN(2*S158)-212*SIN(2*P158-2*R158)-206*SIN(P158+Q158-2*R158)+192*SIN(P158+2*R158)-165*SIN(Q158-2*R158)-125*SIN(R158)-110*SIN(P158+Q158)+148*SIN(P158-Q158)-55*SIN(2*S158-2*R158)</f>
        <v>-21634.2129766392</v>
      </c>
      <c r="P158" s="32" t="n">
        <f aca="false">2*PI()*(0.374897+1325.55241*L158 - INT(0.374897+1325.55241*L158))</f>
        <v>4.13385932865003</v>
      </c>
      <c r="Q158" s="36" t="n">
        <f aca="false">2*PI()*(0.993133+99.997361*L158 - INT(0.993133+99.997361*L158))</f>
        <v>2.63671277402091</v>
      </c>
      <c r="R158" s="36" t="n">
        <f aca="false">2*PI()*(0.827361+1236.853086*L158 - INT(0.827361+1236.853086*L158))</f>
        <v>1.36783602245034</v>
      </c>
      <c r="S158" s="36" t="n">
        <f aca="false">2*PI()*(0.259086+1342.227825*L158 - INT(0.259086+1342.227825*L158))</f>
        <v>1.77139286870104</v>
      </c>
      <c r="T158" s="36" t="n">
        <f aca="false">S158+(O158+412*SIN(2*S158)+541*SIN(Q158))/206264.8062</f>
        <v>1.66699588787759</v>
      </c>
      <c r="U158" s="36" t="n">
        <f aca="false">S158-2*R158</f>
        <v>-0.964279176199643</v>
      </c>
      <c r="V158" s="34" t="n">
        <f aca="false">-526*SIN(U158)+44*SIN(P158+U158)-31*SIN(-P158+U158)-23*SIN(Q158+U158)+11*SIN(-Q158+U158)-25*SIN(-2*P158+S158)+21*SIN(-P158+S158)</f>
        <v>374.757058752693</v>
      </c>
      <c r="W158" s="36" t="n">
        <f aca="false">2*PI()*(N158+O158/1296000-INT(N158+O158/1296000))</f>
        <v>2.56141109654957</v>
      </c>
      <c r="X158" s="35" t="n">
        <f aca="false">W158*180/PI()</f>
        <v>146.758045430266</v>
      </c>
      <c r="Y158" s="36" t="n">
        <f aca="false">(18520*SIN(T158)+V158)/206264.8062</f>
        <v>0.0911892248629089</v>
      </c>
      <c r="Z158" s="36" t="n">
        <f aca="false">Y158*180/PI()</f>
        <v>5.22475772171411</v>
      </c>
      <c r="AA158" s="36" t="n">
        <f aca="false">COS(Y158)*COS(W158)</f>
        <v>-0.832888169256548</v>
      </c>
      <c r="AB158" s="36" t="n">
        <f aca="false">COS(Y158)*SIN(W158)</f>
        <v>0.545898201390507</v>
      </c>
      <c r="AC158" s="36" t="n">
        <f aca="false">SIN(Y158)</f>
        <v>0.091062897115593</v>
      </c>
      <c r="AD158" s="36" t="n">
        <f aca="false">COS($A$10*(23.4393-46.815*L158/3600))*AB158-SIN($A$10*(23.4393-46.815*L158/3600))*AC158</f>
        <v>0.464644325903371</v>
      </c>
      <c r="AE158" s="36" t="n">
        <f aca="false">SIN($A$10*(23.4393-46.815*L158/3600))*AB158+COS($A$10*(23.4393-46.815*L158/3600))*AC158</f>
        <v>0.300670829842666</v>
      </c>
      <c r="AF158" s="36" t="n">
        <f aca="false">SQRT(1-AE158*AE158)</f>
        <v>0.953727975935341</v>
      </c>
      <c r="AG158" s="35" t="n">
        <f aca="false">ATAN(AE158/AF158)/$A$10</f>
        <v>17.4978991644866</v>
      </c>
      <c r="AH158" s="36" t="n">
        <f aca="false">IF(24*ATAN(AD158/(AA158+AF158))/PI()&gt;0,24*ATAN(AD158/(AA158+AF158))/PI(),24*ATAN(AD158/(AA158+AF158))/PI()+24)</f>
        <v>10.0562740269696</v>
      </c>
      <c r="AI158" s="63" t="n">
        <f aca="false">IF(M158-15*AH158&gt;0,M158-15*AH158,360+M158-15*AH158)</f>
        <v>118.546928441681</v>
      </c>
      <c r="AJ158" s="32" t="n">
        <f aca="false">0.950724+0.051818*COS(P158)+0.009531*COS(2*R158-P158)+0.007843*COS(2*R158)+0.002824*COS(2*P158)+0.000857*COS(2*R158+P158)+0.000533*COS(2*R158-Q158)*(1-0.002495*(J158-2415020)/36525)+0.000401*COS(2*R158-Q158-P158)*(1-0.002495*(J158-2415020)/36525)+0.00032*COS(P158-Q158)*(1-0.002495*(J158-2415020)/36525)-0.000271*COS(R158)</f>
        <v>0.916647101616419</v>
      </c>
      <c r="AK158" s="36" t="n">
        <f aca="false">ASIN(COS($A$10*$B$5)*COS($A$10*AG158)*COS($A$10*AI158)+SIN($A$10*$B$5)*SIN($A$10*AG158))/$A$10</f>
        <v>-3.59098679249922</v>
      </c>
      <c r="AL158" s="32" t="n">
        <f aca="false">ASIN((0.9983271+0.0016764*COS($A$10*2*$B$5))*COS($A$10*AK158)*SIN($A$10*AJ158))/$A$10</f>
        <v>0.913050282139371</v>
      </c>
      <c r="AM158" s="32" t="n">
        <f aca="false">AK158-AL158</f>
        <v>-4.50403707463859</v>
      </c>
      <c r="AN158" s="35" t="n">
        <f aca="false"> MOD(280.4664567 + 360007.6982779*L158/10 + 0.03032028*L158^2/100 + L158^3/49931000,360)</f>
        <v>74.3968222405565</v>
      </c>
      <c r="AO158" s="32" t="n">
        <f aca="false"> AN158 + (1.9146 - 0.004817*L158 - 0.000014*L158^2)*SIN(Q158)+ (0.019993 - 0.000101*L158)*SIN(2*Q158)+ 0.00029*SIN(3*Q158)</f>
        <v>75.3057763613116</v>
      </c>
      <c r="AP158" s="32" t="n">
        <f aca="false">ACOS(COS(W158-$A$10*AO158)*COS(Y158))/$A$10</f>
        <v>71.5321233501188</v>
      </c>
      <c r="AQ158" s="34" t="n">
        <f aca="false">180 - AP158 -0.1468*(1-0.0549*SIN(Q158))*SIN($A$10*AP158)/(1-0.0167*SIN($A$10*AO158))</f>
        <v>108.33010872231</v>
      </c>
      <c r="AR158" s="64" t="n">
        <f aca="false">SIN($A$10*AI158)</f>
        <v>0.878425998267648</v>
      </c>
      <c r="AS158" s="64" t="n">
        <f aca="false">COS($A$10*AI158)*SIN($A$10*$B$5) - TAN($A$10*AG158)*COS($A$10*$B$5)</f>
        <v>-0.56872033643243</v>
      </c>
      <c r="AT158" s="24" t="n">
        <f aca="false">IF(OR(AND(AR158*AS158&gt;0), AND(AR158&lt;0,AS158&gt;0)), MOD(ATAN2(AS158,AR158)/$A$10+360,360),  ATAN2(AS158,AR158)/$A$10)</f>
        <v>122.920276527593</v>
      </c>
      <c r="AU158" s="39" t="n">
        <f aca="false"> 385000.56 + (-20905355*COS(P158) - 3699111*COS(2*R158-P158) - 2955968*COS(2*R158) - 569925*COS(2*P158) + (1-0.002516*L158)*48888*COS(Q158) - 3149*COS(2*S158)  +246158*COS(2*R158-2*P158) -(1 - 0.002516*L158)*152138*COS(2*R158-Q158-P158) -170733*COS(2*R158+P158) -(1 - 0.002516*L158)*204586*COS(2*R158-Q158) -(1 - 0.002516*L158)*129620*COS(Q158-P158)  + 108743*COS(R158) +(1-0.002516*L158)*104755*COS(Q158+P158) +10321*COS(2*R158-2*S158) +79661*COS(P158-2*S158) -34782*COS(4*R158-P158) -23210*COS(3*P158)  -21636*COS(4*R158-2*P158) +(1 - 0.002516*L158)*24208*COS(2*R158+Q158-P158) +(1 - 0.002516*L158)*30824*COS(2*R158+Q158) -8379*COS(R158-P158) -(1 - 0.002516*L158)*16675*COS(R158+Q158)  -(1 - 0.002516*L158)*12831*COS(2*R158-Q158+P158) -10445*COS(2*R158+2*P158) -11650*COS(4*R158) +14403*COS(2*R158-3*P158) -(1-0.002516*L158)*7003*COS(Q158-2*P158)  + (1 - 0.002516*L158)*10056*COS(2*R158-Q158-2*P158) +6322*COS(R158+P158) -(1 - 0.002516*L158)*(1-0.002516*L158)*9884*COS(2*R158-2*Q158) +(1-0.002516*L158)*5751*COS(Q158+2*P158) - (1-0.002516*L158)^2*4950*COS(2*R158-2*Q158-P158)  +4130*COS(2*R158+P158-2*S158) -(1-0.002516*L158)*3958*COS(4*R158-Q158-P158) +3258*COS(3*R158-P158) +(1 - 0.002516*L158)*2616*COS(2*R158+Q158+P158) -(1 - 0.002516*L158)*1897*COS(4*R158-Q158-2*P158)  -(1-0.002516*L158)^2*2117*COS(2*Q158-P158) +(1-0.002516*L158)^2*2354*COS(2*R158+2*Q158-P158) -1423*COS(4*R158+P158) -1117*COS(4*P158) -(1-0.002516*L158)*1571*COS(4*R158-Q158)  -1739*COS(R158-2*P158) -4421*COS(2*P158-2*S158) +(1-0.002516*L158)^2*1165*COS(2*Q158+P158) +8752*COS(2*R158-P158-2*S158))/1000</f>
        <v>398821.040188714</v>
      </c>
      <c r="AV158" s="54" t="n">
        <f aca="false">ATAN(0.99664719*TAN($A$10*input!$E$2))</f>
        <v>0.871010436227447</v>
      </c>
      <c r="AW158" s="54" t="n">
        <f aca="false">COS(AV158)</f>
        <v>0.644053912545845</v>
      </c>
      <c r="AX158" s="54" t="n">
        <f aca="false">0.99664719*SIN(AV158)</f>
        <v>0.762415269897027</v>
      </c>
      <c r="AY158" s="54" t="n">
        <f aca="false">6378.14/AU158</f>
        <v>0.0159924862464177</v>
      </c>
      <c r="AZ158" s="55" t="n">
        <f aca="false">M158-15*AH158</f>
        <v>118.546928441681</v>
      </c>
      <c r="BA158" s="56" t="n">
        <f aca="false">COS($A$10*AG158)*SIN($A$10*AZ158)</f>
        <v>0.837779449336785</v>
      </c>
      <c r="BB158" s="56" t="n">
        <f aca="false">COS($A$10*AG158)*COS($A$10*AZ158)-AW158*AY158</f>
        <v>-0.466066022893678</v>
      </c>
      <c r="BC158" s="56" t="n">
        <f aca="false">SIN($A$10*AG158)-AX158*AY158</f>
        <v>0.288477914124779</v>
      </c>
      <c r="BD158" s="57" t="n">
        <f aca="false">SQRT(BA158^2+BB158^2+BC158^2)</f>
        <v>1.00115505810277</v>
      </c>
      <c r="BE158" s="58" t="n">
        <f aca="false">AU158*BD158</f>
        <v>399281.701662739</v>
      </c>
    </row>
    <row r="159" customFormat="false" ht="15" hidden="false" customHeight="false" outlineLevel="0" collapsed="false">
      <c r="D159" s="41" t="n">
        <f aca="false">K159-INT(275*E159/9)+IF($A$8="common year",2,1)*INT((E159+9)/12)+30</f>
        <v>7</v>
      </c>
      <c r="E159" s="41" t="n">
        <f aca="false">IF(K159&lt;32,1,INT(9*(IF($A$8="common year",2,1)+K159)/275+0.98))</f>
        <v>6</v>
      </c>
      <c r="F159" s="42" t="n">
        <f aca="false">AM159</f>
        <v>-2.15138219172597</v>
      </c>
      <c r="G159" s="60" t="n">
        <f aca="false">F159+1.02/(TAN($A$10*(F159+10.3/(F159+5.11)))*60)</f>
        <v>-1.41914689605455</v>
      </c>
      <c r="H159" s="43" t="n">
        <f aca="false">100*(1+COS($A$10*AQ159))/2</f>
        <v>43.9124416672016</v>
      </c>
      <c r="I159" s="43" t="n">
        <f aca="false">IF(AI159&gt;180,AT159-180,AT159+180)</f>
        <v>291.737883666053</v>
      </c>
      <c r="J159" s="61" t="n">
        <f aca="false">$J$2+K158</f>
        <v>2459737.5</v>
      </c>
      <c r="K159" s="21" t="n">
        <v>158</v>
      </c>
      <c r="L159" s="62" t="n">
        <f aca="false">(J159-2451545)/36525</f>
        <v>0.224298425735797</v>
      </c>
      <c r="M159" s="63" t="n">
        <f aca="false">MOD(280.46061837+360.98564736629*(J159-2451545)+0.000387933*L159^2-L159^3/38710000+$B$7,360)</f>
        <v>270.376686217263</v>
      </c>
      <c r="N159" s="30" t="n">
        <f aca="false">0.606433+1336.855225*L159 - INT(0.606433+1336.855225*L159)</f>
        <v>0.460955404175195</v>
      </c>
      <c r="O159" s="35" t="n">
        <f aca="false">22640*SIN(P159)-4586*SIN(P159-2*R159)+2370*SIN(2*R159)+769*SIN(2*P159)-668*SIN(Q159)-412*SIN(2*S159)-212*SIN(2*P159-2*R159)-206*SIN(P159+Q159-2*R159)+192*SIN(P159+2*R159)-165*SIN(Q159-2*R159)-125*SIN(R159)-110*SIN(P159+Q159)+148*SIN(P159-Q159)-55*SIN(2*S159-2*R159)</f>
        <v>-24646.0751957494</v>
      </c>
      <c r="P159" s="32" t="n">
        <f aca="false">2*PI()*(0.374897+1325.55241*L159 - INT(0.374897+1325.55241*L159))</f>
        <v>4.36188647242585</v>
      </c>
      <c r="Q159" s="36" t="n">
        <f aca="false">2*PI()*(0.993133+99.997361*L159 - INT(0.993133+99.997361*L159))</f>
        <v>2.65391474388792</v>
      </c>
      <c r="R159" s="36" t="n">
        <f aca="false">2*PI()*(0.827361+1236.853086*L159 - INT(0.827361+1236.853086*L159))</f>
        <v>1.58060473256937</v>
      </c>
      <c r="S159" s="36" t="n">
        <f aca="false">2*PI()*(0.259086+1342.227825*L159 - INT(0.259086+1342.227825*L159))</f>
        <v>2.00228858804205</v>
      </c>
      <c r="T159" s="36" t="n">
        <f aca="false">S159+(O159+412*SIN(2*S159)+541*SIN(Q159))/206264.8062</f>
        <v>1.88251242186673</v>
      </c>
      <c r="U159" s="36" t="n">
        <f aca="false">S159-2*R159</f>
        <v>-1.15892087709669</v>
      </c>
      <c r="V159" s="34" t="n">
        <f aca="false">-526*SIN(U159)+44*SIN(P159+U159)-31*SIN(-P159+U159)-23*SIN(Q159+U159)+11*SIN(-Q159+U159)-25*SIN(-2*P159+S159)+21*SIN(-P159+S159)</f>
        <v>437.621814648908</v>
      </c>
      <c r="W159" s="36" t="n">
        <f aca="false">2*PI()*(N159+O159/1296000-INT(N159+O159/1296000))</f>
        <v>2.77678067837308</v>
      </c>
      <c r="X159" s="35" t="n">
        <f aca="false">W159*180/PI()</f>
        <v>159.097813504251</v>
      </c>
      <c r="Y159" s="36" t="n">
        <f aca="false">(18520*SIN(T159)+V159)/206264.8062</f>
        <v>0.0875821643917438</v>
      </c>
      <c r="Z159" s="36" t="n">
        <f aca="false">Y159*180/PI()</f>
        <v>5.01808838026788</v>
      </c>
      <c r="AA159" s="36" t="n">
        <f aca="false">COS(Y159)*COS(W159)</f>
        <v>-0.930610230856084</v>
      </c>
      <c r="AB159" s="36" t="n">
        <f aca="false">COS(Y159)*SIN(W159)</f>
        <v>0.355406183881791</v>
      </c>
      <c r="AC159" s="36" t="n">
        <f aca="false">SIN(Y159)</f>
        <v>0.0874702388505268</v>
      </c>
      <c r="AD159" s="36" t="n">
        <f aca="false">COS($A$10*(23.4393-46.815*L159/3600))*AB159-SIN($A$10*(23.4393-46.815*L159/3600))*AC159</f>
        <v>0.291296383342591</v>
      </c>
      <c r="AE159" s="36" t="n">
        <f aca="false">SIN($A$10*(23.4393-46.815*L159/3600))*AB159+COS($A$10*(23.4393-46.815*L159/3600))*AC159</f>
        <v>0.221610052293463</v>
      </c>
      <c r="AF159" s="36" t="n">
        <f aca="false">SQRT(1-AE159*AE159)</f>
        <v>0.975135367383672</v>
      </c>
      <c r="AG159" s="35" t="n">
        <f aca="false">ATAN(AE159/AF159)/$A$10</f>
        <v>12.8036167263055</v>
      </c>
      <c r="AH159" s="36" t="n">
        <f aca="false">IF(24*ATAN(AD159/(AA159+AF159))/PI()&gt;0,24*ATAN(AD159/(AA159+AF159))/PI(),24*ATAN(AD159/(AA159+AF159))/PI()+24)</f>
        <v>10.8412678302573</v>
      </c>
      <c r="AI159" s="63" t="n">
        <f aca="false">IF(M159-15*AH159&gt;0,M159-15*AH159,360+M159-15*AH159)</f>
        <v>107.757668763404</v>
      </c>
      <c r="AJ159" s="32" t="n">
        <f aca="false">0.950724+0.051818*COS(P159)+0.009531*COS(2*R159-P159)+0.007843*COS(2*R159)+0.002824*COS(2*P159)+0.000857*COS(2*R159+P159)+0.000533*COS(2*R159-Q159)*(1-0.002495*(J159-2415020)/36525)+0.000401*COS(2*R159-Q159-P159)*(1-0.002495*(J159-2415020)/36525)+0.00032*COS(P159-Q159)*(1-0.002495*(J159-2415020)/36525)-0.000271*COS(R159)</f>
        <v>0.926778821087548</v>
      </c>
      <c r="AK159" s="36" t="n">
        <f aca="false">ASIN(COS($A$10*$B$5)*COS($A$10*AG159)*COS($A$10*AI159)+SIN($A$10*$B$5)*SIN($A$10*AG159))/$A$10</f>
        <v>-1.22663570822198</v>
      </c>
      <c r="AL159" s="32" t="n">
        <f aca="false">ASIN((0.9983271+0.0016764*COS($A$10*2*$B$5))*COS($A$10*AK159)*SIN($A$10*AJ159))/$A$10</f>
        <v>0.924746483503985</v>
      </c>
      <c r="AM159" s="32" t="n">
        <f aca="false">AK159-AL159</f>
        <v>-2.15138219172597</v>
      </c>
      <c r="AN159" s="35" t="n">
        <f aca="false"> MOD(280.4664567 + 360007.6982779*L159/10 + 0.03032028*L159^2/100 + L159^3/49931000,360)</f>
        <v>75.382469604383</v>
      </c>
      <c r="AO159" s="32" t="n">
        <f aca="false"> AN159 + (1.9146 - 0.004817*L159 - 0.000014*L159^2)*SIN(Q159)+ (0.019993 - 0.000101*L159)*SIN(2*Q159)+ 0.00029*SIN(3*Q159)</f>
        <v>76.2628530009664</v>
      </c>
      <c r="AP159" s="32" t="n">
        <f aca="false">ACOS(COS(W159-$A$10*AO159)*COS(Y159))/$A$10</f>
        <v>82.8625663684953</v>
      </c>
      <c r="AQ159" s="34" t="n">
        <f aca="false">180 - AP159 -0.1468*(1-0.0549*SIN(Q159))*SIN($A$10*AP159)/(1-0.0167*SIN($A$10*AO159))</f>
        <v>96.9931781716383</v>
      </c>
      <c r="AR159" s="64" t="n">
        <f aca="false">SIN($A$10*AI159)</f>
        <v>0.952354986498319</v>
      </c>
      <c r="AS159" s="64" t="n">
        <f aca="false">COS($A$10*AI159)*SIN($A$10*$B$5) - TAN($A$10*AG159)*COS($A$10*$B$5)</f>
        <v>-0.379717682582278</v>
      </c>
      <c r="AT159" s="24" t="n">
        <f aca="false">IF(OR(AND(AR159*AS159&gt;0), AND(AR159&lt;0,AS159&gt;0)), MOD(ATAN2(AS159,AR159)/$A$10+360,360),  ATAN2(AS159,AR159)/$A$10)</f>
        <v>111.737883666053</v>
      </c>
      <c r="AU159" s="39" t="n">
        <f aca="false"> 385000.56 + (-20905355*COS(P159) - 3699111*COS(2*R159-P159) - 2955968*COS(2*R159) - 569925*COS(2*P159) + (1-0.002516*L159)*48888*COS(Q159) - 3149*COS(2*S159)  +246158*COS(2*R159-2*P159) -(1 - 0.002516*L159)*152138*COS(2*R159-Q159-P159) -170733*COS(2*R159+P159) -(1 - 0.002516*L159)*204586*COS(2*R159-Q159) -(1 - 0.002516*L159)*129620*COS(Q159-P159)  + 108743*COS(R159) +(1-0.002516*L159)*104755*COS(Q159+P159) +10321*COS(2*R159-2*S159) +79661*COS(P159-2*S159) -34782*COS(4*R159-P159) -23210*COS(3*P159)  -21636*COS(4*R159-2*P159) +(1 - 0.002516*L159)*24208*COS(2*R159+Q159-P159) +(1 - 0.002516*L159)*30824*COS(2*R159+Q159) -8379*COS(R159-P159) -(1 - 0.002516*L159)*16675*COS(R159+Q159)  -(1 - 0.002516*L159)*12831*COS(2*R159-Q159+P159) -10445*COS(2*R159+2*P159) -11650*COS(4*R159) +14403*COS(2*R159-3*P159) -(1-0.002516*L159)*7003*COS(Q159-2*P159)  + (1 - 0.002516*L159)*10056*COS(2*R159-Q159-2*P159) +6322*COS(R159+P159) -(1 - 0.002516*L159)*(1-0.002516*L159)*9884*COS(2*R159-2*Q159) +(1-0.002516*L159)*5751*COS(Q159+2*P159) - (1-0.002516*L159)^2*4950*COS(2*R159-2*Q159-P159)  +4130*COS(2*R159+P159-2*S159) -(1-0.002516*L159)*3958*COS(4*R159-Q159-P159) +3258*COS(3*R159-P159) +(1 - 0.002516*L159)*2616*COS(2*R159+Q159+P159) -(1 - 0.002516*L159)*1897*COS(4*R159-Q159-2*P159)  -(1-0.002516*L159)^2*2117*COS(2*Q159-P159) +(1-0.002516*L159)^2*2354*COS(2*R159+2*Q159-P159) -1423*COS(4*R159+P159) -1117*COS(4*P159) -(1-0.002516*L159)*1571*COS(4*R159-Q159)  -1739*COS(R159-2*P159) -4421*COS(2*P159-2*S159) +(1-0.002516*L159)^2*1165*COS(2*Q159+P159) +8752*COS(2*R159-P159-2*S159))/1000</f>
        <v>394445.543910187</v>
      </c>
      <c r="AV159" s="54" t="n">
        <f aca="false">ATAN(0.99664719*TAN($A$10*input!$E$2))</f>
        <v>0.871010436227447</v>
      </c>
      <c r="AW159" s="54" t="n">
        <f aca="false">COS(AV159)</f>
        <v>0.644053912545845</v>
      </c>
      <c r="AX159" s="54" t="n">
        <f aca="false">0.99664719*SIN(AV159)</f>
        <v>0.762415269897027</v>
      </c>
      <c r="AY159" s="54" t="n">
        <f aca="false">6378.14/AU159</f>
        <v>0.016169887322779</v>
      </c>
      <c r="AZ159" s="55" t="n">
        <f aca="false">M159-15*AH159</f>
        <v>107.757668763404</v>
      </c>
      <c r="BA159" s="56" t="n">
        <f aca="false">COS($A$10*AG159)*SIN($A$10*AZ159)</f>
        <v>0.92867502963871</v>
      </c>
      <c r="BB159" s="56" t="n">
        <f aca="false">COS($A$10*AG159)*COS($A$10*AZ159)-AW159*AY159</f>
        <v>-0.307822540762199</v>
      </c>
      <c r="BC159" s="56" t="n">
        <f aca="false">SIN($A$10*AG159)-AX159*AY159</f>
        <v>0.209281883286062</v>
      </c>
      <c r="BD159" s="57" t="n">
        <f aca="false">SQRT(BA159^2+BB159^2+BC159^2)</f>
        <v>1.00049534429077</v>
      </c>
      <c r="BE159" s="58" t="n">
        <f aca="false">AU159*BD159</f>
        <v>394640.930258384</v>
      </c>
    </row>
    <row r="160" customFormat="false" ht="15" hidden="false" customHeight="false" outlineLevel="0" collapsed="false">
      <c r="D160" s="41" t="n">
        <f aca="false">K160-INT(275*E160/9)+IF($A$8="common year",2,1)*INT((E160+9)/12)+30</f>
        <v>8</v>
      </c>
      <c r="E160" s="41" t="n">
        <f aca="false">IF(K160&lt;32,1,INT(9*(IF($A$8="common year",2,1)+K160)/275+0.98))</f>
        <v>6</v>
      </c>
      <c r="F160" s="42" t="n">
        <f aca="false">AM160</f>
        <v>0.228505212146667</v>
      </c>
      <c r="G160" s="60" t="n">
        <f aca="false">F160+1.02/(TAN($A$10*(F160+10.3/(F160+5.11)))*60)</f>
        <v>0.679672914387987</v>
      </c>
      <c r="H160" s="43" t="n">
        <f aca="false">100*(1+COS($A$10*AQ160))/2</f>
        <v>54.0376652992791</v>
      </c>
      <c r="I160" s="43" t="n">
        <f aca="false">IF(AI160&gt;180,AT160-180,AT160+180)</f>
        <v>280.268681594407</v>
      </c>
      <c r="J160" s="61" t="n">
        <f aca="false">$J$2+K159</f>
        <v>2459738.5</v>
      </c>
      <c r="K160" s="21" t="n">
        <v>159</v>
      </c>
      <c r="L160" s="62" t="n">
        <f aca="false">(J160-2451545)/36525</f>
        <v>0.224325804243669</v>
      </c>
      <c r="M160" s="63" t="n">
        <f aca="false">MOD(280.46061837+360.98564736629*(J160-2451545)+0.000387933*L160^2-L160^3/38710000+$B$7,360)</f>
        <v>271.362333588302</v>
      </c>
      <c r="N160" s="30" t="n">
        <f aca="false">0.606433+1336.855225*L160 - INT(0.606433+1336.855225*L160)</f>
        <v>0.4975565054757</v>
      </c>
      <c r="O160" s="35" t="n">
        <f aca="false">22640*SIN(P160)-4586*SIN(P160-2*R160)+2370*SIN(2*R160)+769*SIN(2*P160)-668*SIN(Q160)-412*SIN(2*S160)-212*SIN(2*P160-2*R160)-206*SIN(P160+Q160-2*R160)+192*SIN(P160+2*R160)-165*SIN(Q160-2*R160)-125*SIN(R160)-110*SIN(P160+Q160)+148*SIN(P160-Q160)-55*SIN(2*S160-2*R160)</f>
        <v>-26638.3462113313</v>
      </c>
      <c r="P160" s="32" t="n">
        <f aca="false">2*PI()*(0.374897+1325.55241*L160 - INT(0.374897+1325.55241*L160))</f>
        <v>4.58991361620167</v>
      </c>
      <c r="Q160" s="36" t="n">
        <f aca="false">2*PI()*(0.993133+99.997361*L160 - INT(0.993133+99.997361*L160))</f>
        <v>2.6711167137549</v>
      </c>
      <c r="R160" s="36" t="n">
        <f aca="false">2*PI()*(0.827361+1236.853086*L160 - INT(0.827361+1236.853086*L160))</f>
        <v>1.79337344268803</v>
      </c>
      <c r="S160" s="36" t="n">
        <f aca="false">2*PI()*(0.259086+1342.227825*L160 - INT(0.259086+1342.227825*L160))</f>
        <v>2.23318430738305</v>
      </c>
      <c r="T160" s="36" t="n">
        <f aca="false">S160+(O160+412*SIN(2*S160)+541*SIN(Q160))/206264.8062</f>
        <v>2.10328963417317</v>
      </c>
      <c r="U160" s="36" t="n">
        <f aca="false">S160-2*R160</f>
        <v>-1.35356257799302</v>
      </c>
      <c r="V160" s="34" t="n">
        <f aca="false">-526*SIN(U160)+44*SIN(P160+U160)-31*SIN(-P160+U160)-23*SIN(Q160+U160)+11*SIN(-Q160+U160)-25*SIN(-2*P160+S160)+21*SIN(-P160+S160)</f>
        <v>485.933017301192</v>
      </c>
      <c r="W160" s="36" t="n">
        <f aca="false">2*PI()*(N160+O160/1296000-INT(N160+O160/1296000))</f>
        <v>2.99709337784268</v>
      </c>
      <c r="X160" s="35" t="n">
        <f aca="false">W160*180/PI()</f>
        <v>171.720801356993</v>
      </c>
      <c r="Y160" s="36" t="n">
        <f aca="false">(18520*SIN(T160)+V160)/206264.8062</f>
        <v>0.0797117408840268</v>
      </c>
      <c r="Z160" s="36" t="n">
        <f aca="false">Y160*180/PI()</f>
        <v>4.56714633029515</v>
      </c>
      <c r="AA160" s="36" t="n">
        <f aca="false">COS(Y160)*COS(W160)</f>
        <v>-0.986435926258593</v>
      </c>
      <c r="AB160" s="36" t="n">
        <f aca="false">COS(Y160)*SIN(W160)</f>
        <v>0.143539708669866</v>
      </c>
      <c r="AC160" s="36" t="n">
        <f aca="false">SIN(Y160)</f>
        <v>0.0796273534743042</v>
      </c>
      <c r="AD160" s="36" t="n">
        <f aca="false">COS($A$10*(23.4393-46.815*L160/3600))*AB160-SIN($A$10*(23.4393-46.815*L160/3600))*AC160</f>
        <v>0.100027772042632</v>
      </c>
      <c r="AE160" s="36" t="n">
        <f aca="false">SIN($A$10*(23.4393-46.815*L160/3600))*AB160+COS($A$10*(23.4393-46.815*L160/3600))*AC160</f>
        <v>0.130148408390341</v>
      </c>
      <c r="AF160" s="36" t="n">
        <f aca="false">SQRT(1-AE160*AE160)</f>
        <v>0.991494524338617</v>
      </c>
      <c r="AG160" s="35" t="n">
        <f aca="false">ATAN(AE160/AF160)/$A$10</f>
        <v>7.47816835057615</v>
      </c>
      <c r="AH160" s="36" t="n">
        <f aca="false">IF(24*ATAN(AD160/(AA160+AF160))/PI()&gt;0,24*ATAN(AD160/(AA160+AF160))/PI(),24*ATAN(AD160/(AA160+AF160))/PI()+24)</f>
        <v>11.6139877218377</v>
      </c>
      <c r="AI160" s="63" t="n">
        <f aca="false">IF(M160-15*AH160&gt;0,M160-15*AH160,360+M160-15*AH160)</f>
        <v>97.1525177607363</v>
      </c>
      <c r="AJ160" s="32" t="n">
        <f aca="false">0.950724+0.051818*COS(P160)+0.009531*COS(2*R160-P160)+0.007843*COS(2*R160)+0.002824*COS(2*P160)+0.000857*COS(2*R160+P160)+0.000533*COS(2*R160-Q160)*(1-0.002495*(J160-2415020)/36525)+0.000401*COS(2*R160-Q160-P160)*(1-0.002495*(J160-2415020)/36525)+0.00032*COS(P160-Q160)*(1-0.002495*(J160-2415020)/36525)-0.000271*COS(R160)</f>
        <v>0.939357911350346</v>
      </c>
      <c r="AK160" s="36" t="n">
        <f aca="false">ASIN(COS($A$10*$B$5)*COS($A$10*AG160)*COS($A$10*AI160)+SIN($A$10*$B$5)*SIN($A$10*AG160))/$A$10</f>
        <v>1.16582397127989</v>
      </c>
      <c r="AL160" s="32" t="n">
        <f aca="false">ASIN((0.9983271+0.0016764*COS($A$10*2*$B$5))*COS($A$10*AK160)*SIN($A$10*AJ160))/$A$10</f>
        <v>0.93731875913322</v>
      </c>
      <c r="AM160" s="32" t="n">
        <f aca="false">AK160-AL160</f>
        <v>0.228505212146667</v>
      </c>
      <c r="AN160" s="35" t="n">
        <f aca="false"> MOD(280.4664567 + 360007.6982779*L160/10 + 0.03032028*L160^2/100 + L160^3/49931000,360)</f>
        <v>76.3681169682131</v>
      </c>
      <c r="AO160" s="32" t="n">
        <f aca="false"> AN160 + (1.9146 - 0.004817*L160 - 0.000014*L160^2)*SIN(Q160)+ (0.019993 - 0.000101*L160)*SIN(2*Q160)+ 0.00029*SIN(3*Q160)</f>
        <v>77.2196831316601</v>
      </c>
      <c r="AP160" s="32" t="n">
        <f aca="false">ACOS(COS(W160-$A$10*AO160)*COS(Y160))/$A$10</f>
        <v>94.4867964950813</v>
      </c>
      <c r="AQ160" s="34" t="n">
        <f aca="false">180 - AP160 -0.1468*(1-0.0549*SIN(Q160))*SIN($A$10*AP160)/(1-0.0167*SIN($A$10*AO160))</f>
        <v>85.3681329107012</v>
      </c>
      <c r="AR160" s="64" t="n">
        <f aca="false">SIN($A$10*AI160)</f>
        <v>0.99221822695496</v>
      </c>
      <c r="AS160" s="64" t="n">
        <f aca="false">COS($A$10*AI160)*SIN($A$10*$B$5) - TAN($A$10*AG160)*COS($A$10*$B$5)</f>
        <v>-0.179756400228095</v>
      </c>
      <c r="AT160" s="24" t="n">
        <f aca="false">IF(OR(AND(AR160*AS160&gt;0), AND(AR160&lt;0,AS160&gt;0)), MOD(ATAN2(AS160,AR160)/$A$10+360,360),  ATAN2(AS160,AR160)/$A$10)</f>
        <v>100.268681594407</v>
      </c>
      <c r="AU160" s="39" t="n">
        <f aca="false"> 385000.56 + (-20905355*COS(P160) - 3699111*COS(2*R160-P160) - 2955968*COS(2*R160) - 569925*COS(2*P160) + (1-0.002516*L160)*48888*COS(Q160) - 3149*COS(2*S160)  +246158*COS(2*R160-2*P160) -(1 - 0.002516*L160)*152138*COS(2*R160-Q160-P160) -170733*COS(2*R160+P160) -(1 - 0.002516*L160)*204586*COS(2*R160-Q160) -(1 - 0.002516*L160)*129620*COS(Q160-P160)  + 108743*COS(R160) +(1-0.002516*L160)*104755*COS(Q160+P160) +10321*COS(2*R160-2*S160) +79661*COS(P160-2*S160) -34782*COS(4*R160-P160) -23210*COS(3*P160)  -21636*COS(4*R160-2*P160) +(1 - 0.002516*L160)*24208*COS(2*R160+Q160-P160) +(1 - 0.002516*L160)*30824*COS(2*R160+Q160) -8379*COS(R160-P160) -(1 - 0.002516*L160)*16675*COS(R160+Q160)  -(1 - 0.002516*L160)*12831*COS(2*R160-Q160+P160) -10445*COS(2*R160+2*P160) -11650*COS(4*R160) +14403*COS(2*R160-3*P160) -(1-0.002516*L160)*7003*COS(Q160-2*P160)  + (1 - 0.002516*L160)*10056*COS(2*R160-Q160-2*P160) +6322*COS(R160+P160) -(1 - 0.002516*L160)*(1-0.002516*L160)*9884*COS(2*R160-2*Q160) +(1-0.002516*L160)*5751*COS(Q160+2*P160) - (1-0.002516*L160)^2*4950*COS(2*R160-2*Q160-P160)  +4130*COS(2*R160+P160-2*S160) -(1-0.002516*L160)*3958*COS(4*R160-Q160-P160) +3258*COS(3*R160-P160) +(1 - 0.002516*L160)*2616*COS(2*R160+Q160+P160) -(1 - 0.002516*L160)*1897*COS(4*R160-Q160-2*P160)  -(1-0.002516*L160)^2*2117*COS(2*Q160-P160) +(1-0.002516*L160)^2*2354*COS(2*R160+2*Q160-P160) -1423*COS(4*R160+P160) -1117*COS(4*P160) -(1-0.002516*L160)*1571*COS(4*R160-Q160)  -1739*COS(R160-2*P160) -4421*COS(2*P160-2*S160) +(1-0.002516*L160)^2*1165*COS(2*Q160+P160) +8752*COS(2*R160-P160-2*S160))/1000</f>
        <v>389183.436989976</v>
      </c>
      <c r="AV160" s="54" t="n">
        <f aca="false">ATAN(0.99664719*TAN($A$10*input!$E$2))</f>
        <v>0.871010436227447</v>
      </c>
      <c r="AW160" s="54" t="n">
        <f aca="false">COS(AV160)</f>
        <v>0.644053912545845</v>
      </c>
      <c r="AX160" s="54" t="n">
        <f aca="false">0.99664719*SIN(AV160)</f>
        <v>0.762415269897027</v>
      </c>
      <c r="AY160" s="54" t="n">
        <f aca="false">6378.14/AU160</f>
        <v>0.016388518610478</v>
      </c>
      <c r="AZ160" s="55" t="n">
        <f aca="false">M160-15*AH160</f>
        <v>97.1525177607363</v>
      </c>
      <c r="BA160" s="56" t="n">
        <f aca="false">COS($A$10*AG160)*SIN($A$10*AZ160)</f>
        <v>0.983778938974815</v>
      </c>
      <c r="BB160" s="56" t="n">
        <f aca="false">COS($A$10*AG160)*COS($A$10*AZ160)-AW160*AY160</f>
        <v>-0.134007068143226</v>
      </c>
      <c r="BC160" s="56" t="n">
        <f aca="false">SIN($A$10*AG160)-AX160*AY160</f>
        <v>0.117653551550721</v>
      </c>
      <c r="BD160" s="57" t="n">
        <f aca="false">SQRT(BA160^2+BB160^2+BC160^2)</f>
        <v>0.999810608703095</v>
      </c>
      <c r="BE160" s="58" t="n">
        <f aca="false">AU160*BD160</f>
        <v>389109.72903411</v>
      </c>
    </row>
    <row r="161" customFormat="false" ht="15" hidden="false" customHeight="false" outlineLevel="0" collapsed="false">
      <c r="D161" s="41" t="n">
        <f aca="false">K161-INT(275*E161/9)+IF($A$8="common year",2,1)*INT((E161+9)/12)+30</f>
        <v>9</v>
      </c>
      <c r="E161" s="41" t="n">
        <f aca="false">IF(K161&lt;32,1,INT(9*(IF($A$8="common year",2,1)+K161)/275+0.98))</f>
        <v>6</v>
      </c>
      <c r="F161" s="42" t="n">
        <f aca="false">AM161</f>
        <v>2.59273076460402</v>
      </c>
      <c r="G161" s="60" t="n">
        <f aca="false">F161+1.02/(TAN($A$10*(F161+10.3/(F161+5.11)))*60)</f>
        <v>2.84019142090275</v>
      </c>
      <c r="H161" s="43" t="n">
        <f aca="false">100*(1+COS($A$10*AQ161))/2</f>
        <v>64.3041348808182</v>
      </c>
      <c r="I161" s="43" t="n">
        <f aca="false">IF(AI161&gt;180,AT161-180,AT161+180)</f>
        <v>268.403021248281</v>
      </c>
      <c r="J161" s="61" t="n">
        <f aca="false">$J$2+K160</f>
        <v>2459739.5</v>
      </c>
      <c r="K161" s="21" t="n">
        <v>160</v>
      </c>
      <c r="L161" s="62" t="n">
        <f aca="false">(J161-2451545)/36525</f>
        <v>0.22435318275154</v>
      </c>
      <c r="M161" s="63" t="n">
        <f aca="false">MOD(280.46061837+360.98564736629*(J161-2451545)+0.000387933*L161^2-L161^3/38710000+$B$7,360)</f>
        <v>272.347980959807</v>
      </c>
      <c r="N161" s="30" t="n">
        <f aca="false">0.606433+1336.855225*L161 - INT(0.606433+1336.855225*L161)</f>
        <v>0.534157606776148</v>
      </c>
      <c r="O161" s="35" t="n">
        <f aca="false">22640*SIN(P161)-4586*SIN(P161-2*R161)+2370*SIN(2*R161)+769*SIN(2*P161)-668*SIN(Q161)-412*SIN(2*S161)-212*SIN(2*P161-2*R161)-206*SIN(P161+Q161-2*R161)+192*SIN(P161+2*R161)-165*SIN(Q161-2*R161)-125*SIN(R161)-110*SIN(P161+Q161)+148*SIN(P161-Q161)-55*SIN(2*S161-2*R161)</f>
        <v>-27351.8804109902</v>
      </c>
      <c r="P161" s="32" t="n">
        <f aca="false">2*PI()*(0.374897+1325.55241*L161 - INT(0.374897+1325.55241*L161))</f>
        <v>4.81794075997713</v>
      </c>
      <c r="Q161" s="36" t="n">
        <f aca="false">2*PI()*(0.993133+99.997361*L161 - INT(0.993133+99.997361*L161))</f>
        <v>2.68831868362189</v>
      </c>
      <c r="R161" s="36" t="n">
        <f aca="false">2*PI()*(0.827361+1236.853086*L161 - INT(0.827361+1236.853086*L161))</f>
        <v>2.00614215280706</v>
      </c>
      <c r="S161" s="36" t="n">
        <f aca="false">2*PI()*(0.259086+1342.227825*L161 - INT(0.259086+1342.227825*L161))</f>
        <v>2.4640800267237</v>
      </c>
      <c r="T161" s="36" t="n">
        <f aca="false">S161+(O161+412*SIN(2*S161)+541*SIN(Q161))/206264.8062</f>
        <v>2.33067182530433</v>
      </c>
      <c r="U161" s="36" t="n">
        <f aca="false">S161-2*R161</f>
        <v>-1.54820427889042</v>
      </c>
      <c r="V161" s="34" t="n">
        <f aca="false">-526*SIN(U161)+44*SIN(P161+U161)-31*SIN(-P161+U161)-23*SIN(Q161+U161)+11*SIN(-Q161+U161)-25*SIN(-2*P161+S161)+21*SIN(-P161+S161)</f>
        <v>516.210997434927</v>
      </c>
      <c r="W161" s="36" t="n">
        <f aca="false">2*PI()*(N161+O161/1296000-INT(N161+O161/1296000))</f>
        <v>3.2236055683409</v>
      </c>
      <c r="X161" s="35" t="n">
        <f aca="false">W161*180/PI()</f>
        <v>184.698993880805</v>
      </c>
      <c r="Y161" s="36" t="n">
        <f aca="false">(18520*SIN(T161)+V161)/206264.8062</f>
        <v>0.0675915710581522</v>
      </c>
      <c r="Z161" s="36" t="n">
        <f aca="false">Y161*180/PI()</f>
        <v>3.87271175229072</v>
      </c>
      <c r="AA161" s="36" t="n">
        <f aca="false">COS(Y161)*COS(W161)</f>
        <v>-0.994363059862171</v>
      </c>
      <c r="AB161" s="36" t="n">
        <f aca="false">COS(Y161)*SIN(W161)</f>
        <v>-0.0817339458103149</v>
      </c>
      <c r="AC161" s="36" t="n">
        <f aca="false">SIN(Y161)</f>
        <v>0.0675401161075185</v>
      </c>
      <c r="AD161" s="36" t="n">
        <f aca="false">COS($A$10*(23.4393-46.815*L161/3600))*AB161-SIN($A$10*(23.4393-46.815*L161/3600))*AC161</f>
        <v>-0.10185384901919</v>
      </c>
      <c r="AE161" s="36" t="n">
        <f aca="false">SIN($A$10*(23.4393-46.815*L161/3600))*AB161+COS($A$10*(23.4393-46.815*L161/3600))*AC161</f>
        <v>0.0294601191701024</v>
      </c>
      <c r="AF161" s="36" t="n">
        <f aca="false">SQRT(1-AE161*AE161)</f>
        <v>0.999565956492359</v>
      </c>
      <c r="AG161" s="35" t="n">
        <f aca="false">ATAN(AE161/AF161)/$A$10</f>
        <v>1.68818474801087</v>
      </c>
      <c r="AH161" s="36" t="n">
        <f aca="false">IF(24*ATAN(AD161/(AA161+AF161))/PI()&gt;0,24*ATAN(AD161/(AA161+AF161))/PI(),24*ATAN(AD161/(AA161+AF161))/PI()+24)</f>
        <v>12.3898987139112</v>
      </c>
      <c r="AI161" s="63" t="n">
        <f aca="false">IF(M161-15*AH161&gt;0,M161-15*AH161,360+M161-15*AH161)</f>
        <v>86.4995002511393</v>
      </c>
      <c r="AJ161" s="32" t="n">
        <f aca="false">0.950724+0.051818*COS(P161)+0.009531*COS(2*R161-P161)+0.007843*COS(2*R161)+0.002824*COS(2*P161)+0.000857*COS(2*R161+P161)+0.000533*COS(2*R161-Q161)*(1-0.002495*(J161-2415020)/36525)+0.000401*COS(2*R161-Q161-P161)*(1-0.002495*(J161-2415020)/36525)+0.00032*COS(P161-Q161)*(1-0.002495*(J161-2415020)/36525)-0.000271*COS(R161)</f>
        <v>0.953960155707317</v>
      </c>
      <c r="AK161" s="36" t="n">
        <f aca="false">ASIN(COS($A$10*$B$5)*COS($A$10*AG161)*COS($A$10*AI161)+SIN($A$10*$B$5)*SIN($A$10*AG161))/$A$10</f>
        <v>3.54299728019677</v>
      </c>
      <c r="AL161" s="32" t="n">
        <f aca="false">ASIN((0.9983271+0.0016764*COS($A$10*2*$B$5))*COS($A$10*AK161)*SIN($A$10*AJ161))/$A$10</f>
        <v>0.95026651559275</v>
      </c>
      <c r="AM161" s="32" t="n">
        <f aca="false">AK161-AL161</f>
        <v>2.59273076460402</v>
      </c>
      <c r="AN161" s="35" t="n">
        <f aca="false"> MOD(280.4664567 + 360007.6982779*L161/10 + 0.03032028*L161^2/100 + L161^3/49931000,360)</f>
        <v>77.3537643320397</v>
      </c>
      <c r="AO161" s="32" t="n">
        <f aca="false"> AN161 + (1.9146 - 0.004817*L161 - 0.000014*L161^2)*SIN(Q161)+ (0.019993 - 0.000101*L161)*SIN(2*Q161)+ 0.00029*SIN(3*Q161)</f>
        <v>78.1762749345019</v>
      </c>
      <c r="AP161" s="32" t="n">
        <f aca="false">ACOS(COS(W161-$A$10*AO161)*COS(Y161))/$A$10</f>
        <v>106.483912345824</v>
      </c>
      <c r="AQ161" s="34" t="n">
        <f aca="false">180 - AP161 -0.1468*(1-0.0549*SIN(Q161))*SIN($A$10*AP161)/(1-0.0167*SIN($A$10*AO161))</f>
        <v>73.3764225074131</v>
      </c>
      <c r="AR161" s="64" t="n">
        <f aca="false">SIN($A$10*AI161)</f>
        <v>0.998134265902478</v>
      </c>
      <c r="AS161" s="64" t="n">
        <f aca="false">COS($A$10*AI161)*SIN($A$10*$B$5) - TAN($A$10*AG161)*COS($A$10*$B$5)</f>
        <v>0.0278277411883391</v>
      </c>
      <c r="AT161" s="24" t="n">
        <f aca="false">IF(OR(AND(AR161*AS161&gt;0), AND(AR161&lt;0,AS161&gt;0)), MOD(ATAN2(AS161,AR161)/$A$10+360,360),  ATAN2(AS161,AR161)/$A$10)</f>
        <v>88.4030212482805</v>
      </c>
      <c r="AU161" s="39" t="n">
        <f aca="false"> 385000.56 + (-20905355*COS(P161) - 3699111*COS(2*R161-P161) - 2955968*COS(2*R161) - 569925*COS(2*P161) + (1-0.002516*L161)*48888*COS(Q161) - 3149*COS(2*S161)  +246158*COS(2*R161-2*P161) -(1 - 0.002516*L161)*152138*COS(2*R161-Q161-P161) -170733*COS(2*R161+P161) -(1 - 0.002516*L161)*204586*COS(2*R161-Q161) -(1 - 0.002516*L161)*129620*COS(Q161-P161)  + 108743*COS(R161) +(1-0.002516*L161)*104755*COS(Q161+P161) +10321*COS(2*R161-2*S161) +79661*COS(P161-2*S161) -34782*COS(4*R161-P161) -23210*COS(3*P161)  -21636*COS(4*R161-2*P161) +(1 - 0.002516*L161)*24208*COS(2*R161+Q161-P161) +(1 - 0.002516*L161)*30824*COS(2*R161+Q161) -8379*COS(R161-P161) -(1 - 0.002516*L161)*16675*COS(R161+Q161)  -(1 - 0.002516*L161)*12831*COS(2*R161-Q161+P161) -10445*COS(2*R161+2*P161) -11650*COS(4*R161) +14403*COS(2*R161-3*P161) -(1-0.002516*L161)*7003*COS(Q161-2*P161)  + (1 - 0.002516*L161)*10056*COS(2*R161-Q161-2*P161) +6322*COS(R161+P161) -(1 - 0.002516*L161)*(1-0.002516*L161)*9884*COS(2*R161-2*Q161) +(1-0.002516*L161)*5751*COS(Q161+2*P161) - (1-0.002516*L161)^2*4950*COS(2*R161-2*Q161-P161)  +4130*COS(2*R161+P161-2*S161) -(1-0.002516*L161)*3958*COS(4*R161-Q161-P161) +3258*COS(3*R161-P161) +(1 - 0.002516*L161)*2616*COS(2*R161+Q161+P161) -(1 - 0.002516*L161)*1897*COS(4*R161-Q161-2*P161)  -(1-0.002516*L161)^2*2117*COS(2*Q161-P161) +(1-0.002516*L161)^2*2354*COS(2*R161+2*Q161-P161) -1423*COS(4*R161+P161) -1117*COS(4*P161) -(1-0.002516*L161)*1571*COS(4*R161-Q161)  -1739*COS(R161-2*P161) -4421*COS(2*P161-2*S161) +(1-0.002516*L161)^2*1165*COS(2*Q161+P161) +8752*COS(2*R161-P161-2*S161))/1000</f>
        <v>383266.11092113</v>
      </c>
      <c r="AV161" s="54" t="n">
        <f aca="false">ATAN(0.99664719*TAN($A$10*input!$E$2))</f>
        <v>0.871010436227447</v>
      </c>
      <c r="AW161" s="54" t="n">
        <f aca="false">COS(AV161)</f>
        <v>0.644053912545845</v>
      </c>
      <c r="AX161" s="54" t="n">
        <f aca="false">0.99664719*SIN(AV161)</f>
        <v>0.762415269897027</v>
      </c>
      <c r="AY161" s="54" t="n">
        <f aca="false">6378.14/AU161</f>
        <v>0.0166415443950183</v>
      </c>
      <c r="AZ161" s="55" t="n">
        <f aca="false">M161-15*AH161</f>
        <v>86.4995002511393</v>
      </c>
      <c r="BA161" s="56" t="n">
        <f aca="false">COS($A$10*AG161)*SIN($A$10*AZ161)</f>
        <v>0.997701032204609</v>
      </c>
      <c r="BB161" s="56" t="n">
        <f aca="false">COS($A$10*AG161)*COS($A$10*AZ161)-AW161*AY161</f>
        <v>0.0503126922473751</v>
      </c>
      <c r="BC161" s="56" t="n">
        <f aca="false">SIN($A$10*AG161)-AX161*AY161</f>
        <v>0.0167723516086712</v>
      </c>
      <c r="BD161" s="57" t="n">
        <f aca="false">SQRT(BA161^2+BB161^2+BC161^2)</f>
        <v>0.999109617830699</v>
      </c>
      <c r="BE161" s="58" t="n">
        <f aca="false">AU161*BD161</f>
        <v>382924.857609868</v>
      </c>
    </row>
    <row r="162" customFormat="false" ht="15" hidden="false" customHeight="false" outlineLevel="0" collapsed="false">
      <c r="D162" s="41" t="n">
        <f aca="false">K162-INT(275*E162/9)+IF($A$8="common year",2,1)*INT((E162+9)/12)+30</f>
        <v>10</v>
      </c>
      <c r="E162" s="41" t="n">
        <f aca="false">IF(K162&lt;32,1,INT(9*(IF($A$8="common year",2,1)+K162)/275+0.98))</f>
        <v>6</v>
      </c>
      <c r="F162" s="42" t="n">
        <f aca="false">AM162</f>
        <v>4.88524019338524</v>
      </c>
      <c r="G162" s="60" t="n">
        <f aca="false">F162+1.02/(TAN($A$10*(F162+10.3/(F162+5.11)))*60)</f>
        <v>5.04930523954749</v>
      </c>
      <c r="H162" s="43" t="n">
        <f aca="false">100*(1+COS($A$10*AQ162))/2</f>
        <v>74.2760368110512</v>
      </c>
      <c r="I162" s="43" t="n">
        <f aca="false">IF(AI162&gt;180,AT162-180,AT162+180)</f>
        <v>256.042446049503</v>
      </c>
      <c r="J162" s="61" t="n">
        <f aca="false">$J$2+K161</f>
        <v>2459740.5</v>
      </c>
      <c r="K162" s="21" t="n">
        <v>161</v>
      </c>
      <c r="L162" s="62" t="n">
        <f aca="false">(J162-2451545)/36525</f>
        <v>0.224380561259411</v>
      </c>
      <c r="M162" s="63" t="n">
        <f aca="false">MOD(280.46061837+360.98564736629*(J162-2451545)+0.000387933*L162^2-L162^3/38710000+$B$7,360)</f>
        <v>273.33362833038</v>
      </c>
      <c r="N162" s="30" t="n">
        <f aca="false">0.606433+1336.855225*L162 - INT(0.606433+1336.855225*L162)</f>
        <v>0.570758708076653</v>
      </c>
      <c r="O162" s="35" t="n">
        <f aca="false">22640*SIN(P162)-4586*SIN(P162-2*R162)+2370*SIN(2*R162)+769*SIN(2*P162)-668*SIN(Q162)-412*SIN(2*S162)-212*SIN(2*P162-2*R162)-206*SIN(P162+Q162-2*R162)+192*SIN(P162+2*R162)-165*SIN(Q162-2*R162)-125*SIN(R162)-110*SIN(P162+Q162)+148*SIN(P162-Q162)-55*SIN(2*S162-2*R162)</f>
        <v>-26566.4663566865</v>
      </c>
      <c r="P162" s="32" t="n">
        <f aca="false">2*PI()*(0.374897+1325.55241*L162 - INT(0.374897+1325.55241*L162))</f>
        <v>5.04596790375295</v>
      </c>
      <c r="Q162" s="36" t="n">
        <f aca="false">2*PI()*(0.993133+99.997361*L162 - INT(0.993133+99.997361*L162))</f>
        <v>2.7055206534889</v>
      </c>
      <c r="R162" s="36" t="n">
        <f aca="false">2*PI()*(0.827361+1236.853086*L162 - INT(0.827361+1236.853086*L162))</f>
        <v>2.21891086292608</v>
      </c>
      <c r="S162" s="36" t="n">
        <f aca="false">2*PI()*(0.259086+1342.227825*L162 - INT(0.259086+1342.227825*L162))</f>
        <v>2.6949757460647</v>
      </c>
      <c r="T162" s="36" t="n">
        <f aca="false">S162+(O162+412*SIN(2*S162)+541*SIN(Q162))/206264.8062</f>
        <v>2.56572951894141</v>
      </c>
      <c r="U162" s="36" t="n">
        <f aca="false">S162-2*R162</f>
        <v>-1.74284597978746</v>
      </c>
      <c r="V162" s="34" t="n">
        <f aca="false">-526*SIN(U162)+44*SIN(P162+U162)-31*SIN(-P162+U162)-23*SIN(Q162+U162)+11*SIN(-Q162+U162)-25*SIN(-2*P162+S162)+21*SIN(-P162+S162)</f>
        <v>525.422946829521</v>
      </c>
      <c r="W162" s="36" t="n">
        <f aca="false">2*PI()*(N162+O162/1296000-INT(N162+O162/1296000))</f>
        <v>3.45738486504745</v>
      </c>
      <c r="X162" s="35" t="n">
        <f aca="false">W162*180/PI()</f>
        <v>198.093560919627</v>
      </c>
      <c r="Y162" s="36" t="n">
        <f aca="false">(18520*SIN(T162)+V162)/206264.8062</f>
        <v>0.0514419033192889</v>
      </c>
      <c r="Z162" s="36" t="n">
        <f aca="false">Y162*180/PI()</f>
        <v>2.94740395031527</v>
      </c>
      <c r="AA162" s="36" t="n">
        <f aca="false">COS(Y162)*COS(W162)</f>
        <v>-0.949293211205524</v>
      </c>
      <c r="AB162" s="36" t="n">
        <f aca="false">COS(Y162)*SIN(W162)</f>
        <v>-0.310158770899388</v>
      </c>
      <c r="AC162" s="36" t="n">
        <f aca="false">SIN(Y162)</f>
        <v>0.0514192181318008</v>
      </c>
      <c r="AD162" s="36" t="n">
        <f aca="false">COS($A$10*(23.4393-46.815*L162/3600))*AB162-SIN($A$10*(23.4393-46.815*L162/3600))*AC162</f>
        <v>-0.305022367329892</v>
      </c>
      <c r="AE162" s="36" t="n">
        <f aca="false">SIN($A$10*(23.4393-46.815*L162/3600))*AB162+COS($A$10*(23.4393-46.815*L162/3600))*AC162</f>
        <v>-0.0761823771457228</v>
      </c>
      <c r="AF162" s="36" t="n">
        <f aca="false">SQRT(1-AE162*AE162)</f>
        <v>0.997093899997602</v>
      </c>
      <c r="AG162" s="35" t="n">
        <f aca="false">ATAN(AE162/AF162)/$A$10</f>
        <v>-4.36916191142535</v>
      </c>
      <c r="AH162" s="36" t="n">
        <f aca="false">IF(24*ATAN(AD162/(AA162+AF162))/PI()&gt;0,24*ATAN(AD162/(AA162+AF162))/PI(),24*ATAN(AD162/(AA162+AF162))/PI()+24)</f>
        <v>13.1875335258415</v>
      </c>
      <c r="AI162" s="63" t="n">
        <f aca="false">IF(M162-15*AH162&gt;0,M162-15*AH162,360+M162-15*AH162)</f>
        <v>75.5206254427571</v>
      </c>
      <c r="AJ162" s="32" t="n">
        <f aca="false">0.950724+0.051818*COS(P162)+0.009531*COS(2*R162-P162)+0.007843*COS(2*R162)+0.002824*COS(2*P162)+0.000857*COS(2*R162+P162)+0.000533*COS(2*R162-Q162)*(1-0.002495*(J162-2415020)/36525)+0.000401*COS(2*R162-Q162-P162)*(1-0.002495*(J162-2415020)/36525)+0.00032*COS(P162-Q162)*(1-0.002495*(J162-2415020)/36525)-0.000271*COS(R162)</f>
        <v>0.969774579851153</v>
      </c>
      <c r="AK162" s="36" t="n">
        <f aca="false">ASIN(COS($A$10*$B$5)*COS($A$10*AG162)*COS($A$10*AI162)+SIN($A$10*$B$5)*SIN($A$10*AG162))/$A$10</f>
        <v>5.8480722655123</v>
      </c>
      <c r="AL162" s="32" t="n">
        <f aca="false">ASIN((0.9983271+0.0016764*COS($A$10*2*$B$5))*COS($A$10*AK162)*SIN($A$10*AJ162))/$A$10</f>
        <v>0.962832072127063</v>
      </c>
      <c r="AM162" s="32" t="n">
        <f aca="false">AK162-AL162</f>
        <v>4.88524019338524</v>
      </c>
      <c r="AN162" s="35" t="n">
        <f aca="false"> MOD(280.4664567 + 360007.6982779*L162/10 + 0.03032028*L162^2/100 + L162^3/49931000,360)</f>
        <v>78.339411695868</v>
      </c>
      <c r="AO162" s="32" t="n">
        <f aca="false"> AN162 + (1.9146 - 0.004817*L162 - 0.000014*L162^2)*SIN(Q162)+ (0.019993 - 0.000101*L162)*SIN(2*Q162)+ 0.00029*SIN(3*Q162)</f>
        <v>79.1326366459845</v>
      </c>
      <c r="AP162" s="32" t="n">
        <f aca="false">ACOS(COS(W162-$A$10*AO162)*COS(Y162))/$A$10</f>
        <v>118.918987389246</v>
      </c>
      <c r="AQ162" s="34" t="n">
        <f aca="false">180 - AP162 -0.1468*(1-0.0549*SIN(Q162))*SIN($A$10*AP162)/(1-0.0167*SIN($A$10*AO162))</f>
        <v>60.9534047383815</v>
      </c>
      <c r="AR162" s="64" t="n">
        <f aca="false">SIN($A$10*AI162)</f>
        <v>0.968237709912533</v>
      </c>
      <c r="AS162" s="64" t="n">
        <f aca="false">COS($A$10*AI162)*SIN($A$10*$B$5) - TAN($A$10*AG162)*COS($A$10*$B$5)</f>
        <v>0.240647031845871</v>
      </c>
      <c r="AT162" s="24" t="n">
        <f aca="false">IF(OR(AND(AR162*AS162&gt;0), AND(AR162&lt;0,AS162&gt;0)), MOD(ATAN2(AS162,AR162)/$A$10+360,360),  ATAN2(AS162,AR162)/$A$10)</f>
        <v>76.0424460495027</v>
      </c>
      <c r="AU162" s="39" t="n">
        <f aca="false"> 385000.56 + (-20905355*COS(P162) - 3699111*COS(2*R162-P162) - 2955968*COS(2*R162) - 569925*COS(2*P162) + (1-0.002516*L162)*48888*COS(Q162) - 3149*COS(2*S162)  +246158*COS(2*R162-2*P162) -(1 - 0.002516*L162)*152138*COS(2*R162-Q162-P162) -170733*COS(2*R162+P162) -(1 - 0.002516*L162)*204586*COS(2*R162-Q162) -(1 - 0.002516*L162)*129620*COS(Q162-P162)  + 108743*COS(R162) +(1-0.002516*L162)*104755*COS(Q162+P162) +10321*COS(2*R162-2*S162) +79661*COS(P162-2*S162) -34782*COS(4*R162-P162) -23210*COS(3*P162)  -21636*COS(4*R162-2*P162) +(1 - 0.002516*L162)*24208*COS(2*R162+Q162-P162) +(1 - 0.002516*L162)*30824*COS(2*R162+Q162) -8379*COS(R162-P162) -(1 - 0.002516*L162)*16675*COS(R162+Q162)  -(1 - 0.002516*L162)*12831*COS(2*R162-Q162+P162) -10445*COS(2*R162+2*P162) -11650*COS(4*R162) +14403*COS(2*R162-3*P162) -(1-0.002516*L162)*7003*COS(Q162-2*P162)  + (1 - 0.002516*L162)*10056*COS(2*R162-Q162-2*P162) +6322*COS(R162+P162) -(1 - 0.002516*L162)*(1-0.002516*L162)*9884*COS(2*R162-2*Q162) +(1-0.002516*L162)*5751*COS(Q162+2*P162) - (1-0.002516*L162)^2*4950*COS(2*R162-2*Q162-P162)  +4130*COS(2*R162+P162-2*S162) -(1-0.002516*L162)*3958*COS(4*R162-Q162-P162) +3258*COS(3*R162-P162) +(1 - 0.002516*L162)*2616*COS(2*R162+Q162+P162) -(1 - 0.002516*L162)*1897*COS(4*R162-Q162-2*P162)  -(1-0.002516*L162)^2*2117*COS(2*Q162-P162) +(1-0.002516*L162)^2*2354*COS(2*R162+2*Q162-P162) -1423*COS(4*R162+P162) -1117*COS(4*P162) -(1-0.002516*L162)*1571*COS(4*R162-Q162)  -1739*COS(R162-2*P162) -4421*COS(2*P162-2*S162) +(1-0.002516*L162)^2*1165*COS(2*Q162+P162) +8752*COS(2*R162-P162-2*S162))/1000</f>
        <v>377035.006297354</v>
      </c>
      <c r="AV162" s="54" t="n">
        <f aca="false">ATAN(0.99664719*TAN($A$10*input!$E$2))</f>
        <v>0.871010436227447</v>
      </c>
      <c r="AW162" s="54" t="n">
        <f aca="false">COS(AV162)</f>
        <v>0.644053912545845</v>
      </c>
      <c r="AX162" s="54" t="n">
        <f aca="false">0.99664719*SIN(AV162)</f>
        <v>0.762415269897027</v>
      </c>
      <c r="AY162" s="54" t="n">
        <f aca="false">6378.14/AU162</f>
        <v>0.0169165724494287</v>
      </c>
      <c r="AZ162" s="55" t="n">
        <f aca="false">M162-15*AH162</f>
        <v>75.5206254427571</v>
      </c>
      <c r="BA162" s="56" t="n">
        <f aca="false">COS($A$10*AG162)*SIN($A$10*AZ162)</f>
        <v>0.965423914301433</v>
      </c>
      <c r="BB162" s="56" t="n">
        <f aca="false">COS($A$10*AG162)*COS($A$10*AZ162)-AW162*AY162</f>
        <v>0.238409671090712</v>
      </c>
      <c r="BC162" s="56" t="n">
        <f aca="false">SIN($A$10*AG162)-AX162*AY162</f>
        <v>-0.0890798302954866</v>
      </c>
      <c r="BD162" s="57" t="n">
        <f aca="false">SQRT(BA162^2+BB162^2+BC162^2)</f>
        <v>0.998407592990035</v>
      </c>
      <c r="BE162" s="58" t="n">
        <f aca="false">AU162*BD162</f>
        <v>376434.613110324</v>
      </c>
    </row>
    <row r="163" customFormat="false" ht="15" hidden="false" customHeight="false" outlineLevel="0" collapsed="false">
      <c r="D163" s="41" t="n">
        <f aca="false">K163-INT(275*E163/9)+IF($A$8="common year",2,1)*INT((E163+9)/12)+30</f>
        <v>11</v>
      </c>
      <c r="E163" s="41" t="n">
        <f aca="false">IF(K163&lt;32,1,INT(9*(IF($A$8="common year",2,1)+K163)/275+0.98))</f>
        <v>6</v>
      </c>
      <c r="F163" s="42" t="n">
        <f aca="false">AM163</f>
        <v>7.02991654796521</v>
      </c>
      <c r="G163" s="60" t="n">
        <f aca="false">F163+1.02/(TAN($A$10*(F163+10.3/(F163+5.11)))*60)</f>
        <v>7.1527697980619</v>
      </c>
      <c r="H163" s="43" t="n">
        <f aca="false">100*(1+COS($A$10*AQ163))/2</f>
        <v>83.4142042128332</v>
      </c>
      <c r="I163" s="43" t="n">
        <f aca="false">IF(AI163&gt;180,AT163-180,AT163+180)</f>
        <v>243.117792587447</v>
      </c>
      <c r="J163" s="61" t="n">
        <f aca="false">$J$2+K162</f>
        <v>2459741.5</v>
      </c>
      <c r="K163" s="21" t="n">
        <v>162</v>
      </c>
      <c r="L163" s="62" t="n">
        <f aca="false">(J163-2451545)/36525</f>
        <v>0.224407939767283</v>
      </c>
      <c r="M163" s="63" t="n">
        <f aca="false">MOD(280.46061837+360.98564736629*(J163-2451545)+0.000387933*L163^2-L163^3/38710000+$B$7,360)</f>
        <v>274.319275701419</v>
      </c>
      <c r="N163" s="30" t="n">
        <f aca="false">0.606433+1336.855225*L163 - INT(0.606433+1336.855225*L163)</f>
        <v>0.607359809377101</v>
      </c>
      <c r="O163" s="35" t="n">
        <f aca="false">22640*SIN(P163)-4586*SIN(P163-2*R163)+2370*SIN(2*R163)+769*SIN(2*P163)-668*SIN(Q163)-412*SIN(2*S163)-212*SIN(2*P163-2*R163)-206*SIN(P163+Q163-2*R163)+192*SIN(P163+2*R163)-165*SIN(Q163-2*R163)-125*SIN(R163)-110*SIN(P163+Q163)+148*SIN(P163-Q163)-55*SIN(2*S163-2*R163)</f>
        <v>-24151.6574281569</v>
      </c>
      <c r="P163" s="32" t="n">
        <f aca="false">2*PI()*(0.374897+1325.55241*L163 - INT(0.374897+1325.55241*L163))</f>
        <v>5.27399504752876</v>
      </c>
      <c r="Q163" s="36" t="n">
        <f aca="false">2*PI()*(0.993133+99.997361*L163 - INT(0.993133+99.997361*L163))</f>
        <v>2.72272262335588</v>
      </c>
      <c r="R163" s="36" t="n">
        <f aca="false">2*PI()*(0.827361+1236.853086*L163 - INT(0.827361+1236.853086*L163))</f>
        <v>2.43167957304511</v>
      </c>
      <c r="S163" s="36" t="n">
        <f aca="false">2*PI()*(0.259086+1342.227825*L163 - INT(0.259086+1342.227825*L163))</f>
        <v>2.92587146540571</v>
      </c>
      <c r="T163" s="36" t="n">
        <f aca="false">S163+(O163+412*SIN(2*S163)+541*SIN(Q163))/206264.8062</f>
        <v>2.8090124212263</v>
      </c>
      <c r="U163" s="36" t="n">
        <f aca="false">S163-2*R163</f>
        <v>-1.93748768068451</v>
      </c>
      <c r="V163" s="34" t="n">
        <f aca="false">-526*SIN(U163)+44*SIN(P163+U163)-31*SIN(-P163+U163)-23*SIN(Q163+U163)+11*SIN(-Q163+U163)-25*SIN(-2*P163+S163)+21*SIN(-P163+S163)</f>
        <v>511.414040551848</v>
      </c>
      <c r="W163" s="36" t="n">
        <f aca="false">2*PI()*(N163+O163/1296000-INT(N163+O163/1296000))</f>
        <v>3.69906369102318</v>
      </c>
      <c r="X163" s="35" t="n">
        <f aca="false">W163*180/PI()</f>
        <v>211.940737645713</v>
      </c>
      <c r="Y163" s="36" t="n">
        <f aca="false">(18520*SIN(T163)+V163)/206264.8062</f>
        <v>0.0317934916191226</v>
      </c>
      <c r="Z163" s="36" t="n">
        <f aca="false">Y163*180/PI()</f>
        <v>1.82163288576028</v>
      </c>
      <c r="AA163" s="36" t="n">
        <f aca="false">COS(Y163)*COS(W163)</f>
        <v>-0.848166894975458</v>
      </c>
      <c r="AB163" s="36" t="n">
        <f aca="false">COS(Y163)*SIN(W163)</f>
        <v>-0.52877446298234</v>
      </c>
      <c r="AC163" s="36" t="n">
        <f aca="false">SIN(Y163)</f>
        <v>0.0317881356079236</v>
      </c>
      <c r="AD163" s="36" t="n">
        <f aca="false">COS($A$10*(23.4393-46.815*L163/3600))*AB163-SIN($A$10*(23.4393-46.815*L163/3600))*AC163</f>
        <v>-0.497794877567225</v>
      </c>
      <c r="AE163" s="36" t="n">
        <f aca="false">SIN($A$10*(23.4393-46.815*L163/3600))*AB163+COS($A$10*(23.4393-46.815*L163/3600))*AC163</f>
        <v>-0.181144081149567</v>
      </c>
      <c r="AF163" s="36" t="n">
        <f aca="false">SQRT(1-AE163*AE163)</f>
        <v>0.983456568367144</v>
      </c>
      <c r="AG163" s="35" t="n">
        <f aca="false">ATAN(AE163/AF163)/$A$10</f>
        <v>-10.4364063831947</v>
      </c>
      <c r="AH163" s="36" t="n">
        <f aca="false">IF(24*ATAN(AD163/(AA163+AF163))/PI()&gt;0,24*ATAN(AD163/(AA163+AF163))/PI(),24*ATAN(AD163/(AA163+AF163))/PI()+24)</f>
        <v>14.027264021292</v>
      </c>
      <c r="AI163" s="63" t="n">
        <f aca="false">IF(M163-15*AH163&gt;0,M163-15*AH163,360+M163-15*AH163)</f>
        <v>63.9103153820387</v>
      </c>
      <c r="AJ163" s="32" t="n">
        <f aca="false">0.950724+0.051818*COS(P163)+0.009531*COS(2*R163-P163)+0.007843*COS(2*R163)+0.002824*COS(2*P163)+0.000857*COS(2*R163+P163)+0.000533*COS(2*R163-Q163)*(1-0.002495*(J163-2415020)/36525)+0.000401*COS(2*R163-Q163-P163)*(1-0.002495*(J163-2415020)/36525)+0.00032*COS(P163-Q163)*(1-0.002495*(J163-2415020)/36525)-0.000271*COS(R163)</f>
        <v>0.985621102886255</v>
      </c>
      <c r="AK163" s="36" t="n">
        <f aca="false">ASIN(COS($A$10*$B$5)*COS($A$10*AG163)*COS($A$10*AI163)+SIN($A$10*$B$5)*SIN($A$10*AG163))/$A$10</f>
        <v>8.00401800964799</v>
      </c>
      <c r="AL163" s="32" t="n">
        <f aca="false">ASIN((0.9983271+0.0016764*COS($A$10*2*$B$5))*COS($A$10*AK163)*SIN($A$10*AJ163))/$A$10</f>
        <v>0.974101461682783</v>
      </c>
      <c r="AM163" s="32" t="n">
        <f aca="false">AK163-AL163</f>
        <v>7.02991654796521</v>
      </c>
      <c r="AN163" s="35" t="n">
        <f aca="false"> MOD(280.4664567 + 360007.6982779*L163/10 + 0.03032028*L163^2/100 + L163^3/49931000,360)</f>
        <v>79.3250590596981</v>
      </c>
      <c r="AO163" s="32" t="n">
        <f aca="false"> AN163 + (1.9146 - 0.004817*L163 - 0.000014*L163^2)*SIN(Q163)+ (0.019993 - 0.000101*L163)*SIN(2*Q163)+ 0.00029*SIN(3*Q163)</f>
        <v>80.0887765559473</v>
      </c>
      <c r="AP163" s="32" t="n">
        <f aca="false">ACOS(COS(W163-$A$10*AO163)*COS(Y163))/$A$10</f>
        <v>131.826029764174</v>
      </c>
      <c r="AQ163" s="34" t="n">
        <f aca="false">180 - AP163 -0.1468*(1-0.0549*SIN(Q163))*SIN($A$10*AP163)/(1-0.0167*SIN($A$10*AO163))</f>
        <v>48.0652326501011</v>
      </c>
      <c r="AR163" s="64" t="n">
        <f aca="false">SIN($A$10*AI163)</f>
        <v>0.898106766701676</v>
      </c>
      <c r="AS163" s="64" t="n">
        <f aca="false">COS($A$10*AI163)*SIN($A$10*$B$5) - TAN($A$10*AG163)*COS($A$10*$B$5)</f>
        <v>0.455284942466159</v>
      </c>
      <c r="AT163" s="24" t="n">
        <f aca="false">IF(OR(AND(AR163*AS163&gt;0), AND(AR163&lt;0,AS163&gt;0)), MOD(ATAN2(AS163,AR163)/$A$10+360,360),  ATAN2(AS163,AR163)/$A$10)</f>
        <v>63.1177925874467</v>
      </c>
      <c r="AU163" s="39" t="n">
        <f aca="false"> 385000.56 + (-20905355*COS(P163) - 3699111*COS(2*R163-P163) - 2955968*COS(2*R163) - 569925*COS(2*P163) + (1-0.002516*L163)*48888*COS(Q163) - 3149*COS(2*S163)  +246158*COS(2*R163-2*P163) -(1 - 0.002516*L163)*152138*COS(2*R163-Q163-P163) -170733*COS(2*R163+P163) -(1 - 0.002516*L163)*204586*COS(2*R163-Q163) -(1 - 0.002516*L163)*129620*COS(Q163-P163)  + 108743*COS(R163) +(1-0.002516*L163)*104755*COS(Q163+P163) +10321*COS(2*R163-2*S163) +79661*COS(P163-2*S163) -34782*COS(4*R163-P163) -23210*COS(3*P163)  -21636*COS(4*R163-2*P163) +(1 - 0.002516*L163)*24208*COS(2*R163+Q163-P163) +(1 - 0.002516*L163)*30824*COS(2*R163+Q163) -8379*COS(R163-P163) -(1 - 0.002516*L163)*16675*COS(R163+Q163)  -(1 - 0.002516*L163)*12831*COS(2*R163-Q163+P163) -10445*COS(2*R163+2*P163) -11650*COS(4*R163) +14403*COS(2*R163-3*P163) -(1-0.002516*L163)*7003*COS(Q163-2*P163)  + (1 - 0.002516*L163)*10056*COS(2*R163-Q163-2*P163) +6322*COS(R163+P163) -(1 - 0.002516*L163)*(1-0.002516*L163)*9884*COS(2*R163-2*Q163) +(1-0.002516*L163)*5751*COS(Q163+2*P163) - (1-0.002516*L163)^2*4950*COS(2*R163-2*Q163-P163)  +4130*COS(2*R163+P163-2*S163) -(1-0.002516*L163)*3958*COS(4*R163-Q163-P163) +3258*COS(3*R163-P163) +(1 - 0.002516*L163)*2616*COS(2*R163+Q163+P163) -(1 - 0.002516*L163)*1897*COS(4*R163-Q163-2*P163)  -(1-0.002516*L163)^2*2117*COS(2*Q163-P163) +(1-0.002516*L163)^2*2354*COS(2*R163+2*Q163-P163) -1423*COS(4*R163+P163) -1117*COS(4*P163) -(1-0.002516*L163)*1571*COS(4*R163-Q163)  -1739*COS(R163-2*P163) -4421*COS(2*P163-2*S163) +(1-0.002516*L163)^2*1165*COS(2*Q163+P163) +8752*COS(2*R163-P163-2*S163))/1000</f>
        <v>370930.184280213</v>
      </c>
      <c r="AV163" s="54" t="n">
        <f aca="false">ATAN(0.99664719*TAN($A$10*input!$E$2))</f>
        <v>0.871010436227447</v>
      </c>
      <c r="AW163" s="54" t="n">
        <f aca="false">COS(AV163)</f>
        <v>0.644053912545845</v>
      </c>
      <c r="AX163" s="54" t="n">
        <f aca="false">0.99664719*SIN(AV163)</f>
        <v>0.762415269897027</v>
      </c>
      <c r="AY163" s="54" t="n">
        <f aca="false">6378.14/AU163</f>
        <v>0.0171949878179279</v>
      </c>
      <c r="AZ163" s="55" t="n">
        <f aca="false">M163-15*AH163</f>
        <v>63.9103153820387</v>
      </c>
      <c r="BA163" s="56" t="n">
        <f aca="false">COS($A$10*AG163)*SIN($A$10*AZ163)</f>
        <v>0.883248998807742</v>
      </c>
      <c r="BB163" s="56" t="n">
        <f aca="false">COS($A$10*AG163)*COS($A$10*AZ163)-AW163*AY163</f>
        <v>0.421427556270987</v>
      </c>
      <c r="BC163" s="56" t="n">
        <f aca="false">SIN($A$10*AG163)-AX163*AY163</f>
        <v>-0.194253802427649</v>
      </c>
      <c r="BD163" s="57" t="n">
        <f aca="false">SQRT(BA163^2+BB163^2+BC163^2)</f>
        <v>0.997729682247158</v>
      </c>
      <c r="BE163" s="58" t="n">
        <f aca="false">AU163*BD163</f>
        <v>370088.054897776</v>
      </c>
    </row>
    <row r="164" customFormat="false" ht="15" hidden="false" customHeight="false" outlineLevel="0" collapsed="false">
      <c r="D164" s="41" t="n">
        <f aca="false">K164-INT(275*E164/9)+IF($A$8="common year",2,1)*INT((E164+9)/12)+30</f>
        <v>12</v>
      </c>
      <c r="E164" s="41" t="n">
        <f aca="false">IF(K164&lt;32,1,INT(9*(IF($A$8="common year",2,1)+K164)/275+0.98))</f>
        <v>6</v>
      </c>
      <c r="F164" s="42" t="n">
        <f aca="false">AM164</f>
        <v>8.92844156948692</v>
      </c>
      <c r="G164" s="60" t="n">
        <f aca="false">F164+1.02/(TAN($A$10*(F164+10.3/(F164+5.11)))*60)</f>
        <v>9.02829288446465</v>
      </c>
      <c r="H164" s="43" t="n">
        <f aca="false">100*(1+COS($A$10*AQ164))/2</f>
        <v>91.0940059016406</v>
      </c>
      <c r="I164" s="43" t="n">
        <f aca="false">IF(AI164&gt;180,AT164-180,AT164+180)</f>
        <v>229.609547389091</v>
      </c>
      <c r="J164" s="61" t="n">
        <f aca="false">$J$2+K163</f>
        <v>2459742.5</v>
      </c>
      <c r="K164" s="21" t="n">
        <v>163</v>
      </c>
      <c r="L164" s="62" t="n">
        <f aca="false">(J164-2451545)/36525</f>
        <v>0.224435318275154</v>
      </c>
      <c r="M164" s="63" t="n">
        <f aca="false">MOD(280.46061837+360.98564736629*(J164-2451545)+0.000387933*L164^2-L164^3/38710000+$B$7,360)</f>
        <v>275.304923072457</v>
      </c>
      <c r="N164" s="30" t="n">
        <f aca="false">0.606433+1336.855225*L164 - INT(0.606433+1336.855225*L164)</f>
        <v>0.643960910677606</v>
      </c>
      <c r="O164" s="35" t="n">
        <f aca="false">22640*SIN(P164)-4586*SIN(P164-2*R164)+2370*SIN(2*R164)+769*SIN(2*P164)-668*SIN(Q164)-412*SIN(2*S164)-212*SIN(2*P164-2*R164)-206*SIN(P164+Q164-2*R164)+192*SIN(P164+2*R164)-165*SIN(Q164-2*R164)-125*SIN(R164)-110*SIN(P164+Q164)+148*SIN(P164-Q164)-55*SIN(2*S164-2*R164)</f>
        <v>-20114.544258866</v>
      </c>
      <c r="P164" s="32" t="n">
        <f aca="false">2*PI()*(0.374897+1325.55241*L164 - INT(0.374897+1325.55241*L164))</f>
        <v>5.50202219130458</v>
      </c>
      <c r="Q164" s="36" t="n">
        <f aca="false">2*PI()*(0.993133+99.997361*L164 - INT(0.993133+99.997361*L164))</f>
        <v>2.73992459322289</v>
      </c>
      <c r="R164" s="36" t="n">
        <f aca="false">2*PI()*(0.827361+1236.853086*L164 - INT(0.827361+1236.853086*L164))</f>
        <v>2.64444828316413</v>
      </c>
      <c r="S164" s="36" t="n">
        <f aca="false">2*PI()*(0.259086+1342.227825*L164 - INT(0.259086+1342.227825*L164))</f>
        <v>3.15676718474671</v>
      </c>
      <c r="T164" s="36" t="n">
        <f aca="false">S164+(O164+412*SIN(2*S164)+541*SIN(Q164))/206264.8062</f>
        <v>3.06033514422152</v>
      </c>
      <c r="U164" s="36" t="n">
        <f aca="false">S164-2*R164</f>
        <v>-2.13212938158155</v>
      </c>
      <c r="V164" s="34" t="n">
        <f aca="false">-526*SIN(U164)+44*SIN(P164+U164)-31*SIN(-P164+U164)-23*SIN(Q164+U164)+11*SIN(-Q164+U164)-25*SIN(-2*P164+S164)+21*SIN(-P164+S164)</f>
        <v>473.293504808985</v>
      </c>
      <c r="W164" s="36" t="n">
        <f aca="false">2*PI()*(N164+O164/1296000-INT(N164+O164/1296000))</f>
        <v>3.94860766990771</v>
      </c>
      <c r="X164" s="35" t="n">
        <f aca="false">W164*180/PI()</f>
        <v>226.238554438698</v>
      </c>
      <c r="Y164" s="36" t="n">
        <f aca="false">(18520*SIN(T164)+V164)/206264.8062</f>
        <v>0.00958247354658642</v>
      </c>
      <c r="Z164" s="36" t="n">
        <f aca="false">Y164*180/PI()</f>
        <v>0.54903529151516</v>
      </c>
      <c r="AA164" s="36" t="n">
        <f aca="false">COS(Y164)*COS(W164)</f>
        <v>-0.691625588321032</v>
      </c>
      <c r="AB164" s="36" t="n">
        <f aca="false">COS(Y164)*SIN(W164)</f>
        <v>-0.722192650607037</v>
      </c>
      <c r="AC164" s="36" t="n">
        <f aca="false">SIN(Y164)</f>
        <v>0.00958232689740514</v>
      </c>
      <c r="AD164" s="36" t="n">
        <f aca="false">COS($A$10*(23.4393-46.815*L164/3600))*AB164-SIN($A$10*(23.4393-46.815*L164/3600))*AC164</f>
        <v>-0.666424574489093</v>
      </c>
      <c r="AE164" s="36" t="n">
        <f aca="false">SIN($A$10*(23.4393-46.815*L164/3600))*AB164+COS($A$10*(23.4393-46.815*L164/3600))*AC164</f>
        <v>-0.278446282245998</v>
      </c>
      <c r="AF164" s="36" t="n">
        <f aca="false">SQRT(1-AE164*AE164)</f>
        <v>0.960451804050251</v>
      </c>
      <c r="AG164" s="35" t="n">
        <f aca="false">ATAN(AE164/AF164)/$A$10</f>
        <v>-16.167495846524</v>
      </c>
      <c r="AH164" s="36" t="n">
        <f aca="false">IF(24*ATAN(AD164/(AA164+AF164))/PI()&gt;0,24*ATAN(AD164/(AA164+AF164))/PI(),24*ATAN(AD164/(AA164+AF164))/PI()+24)</f>
        <v>14.929126524329</v>
      </c>
      <c r="AI164" s="63" t="n">
        <f aca="false">IF(M164-15*AH164&gt;0,M164-15*AH164,360+M164-15*AH164)</f>
        <v>51.3680252075217</v>
      </c>
      <c r="AJ164" s="32" t="n">
        <f aca="false">0.950724+0.051818*COS(P164)+0.009531*COS(2*R164-P164)+0.007843*COS(2*R164)+0.002824*COS(2*P164)+0.000857*COS(2*R164+P164)+0.000533*COS(2*R164-Q164)*(1-0.002495*(J164-2415020)/36525)+0.000401*COS(2*R164-Q164-P164)*(1-0.002495*(J164-2415020)/36525)+0.00032*COS(P164-Q164)*(1-0.002495*(J164-2415020)/36525)-0.000271*COS(R164)</f>
        <v>1.00006844617381</v>
      </c>
      <c r="AK164" s="36" t="n">
        <f aca="false">ASIN(COS($A$10*$B$5)*COS($A$10*AG164)*COS($A$10*AI164)+SIN($A$10*$B$5)*SIN($A$10*AG164))/$A$10</f>
        <v>9.9116468591175</v>
      </c>
      <c r="AL164" s="32" t="n">
        <f aca="false">ASIN((0.9983271+0.0016764*COS($A$10*2*$B$5))*COS($A$10*AK164)*SIN($A$10*AJ164))/$A$10</f>
        <v>0.983205289630581</v>
      </c>
      <c r="AM164" s="32" t="n">
        <f aca="false">AK164-AL164</f>
        <v>8.92844156948692</v>
      </c>
      <c r="AN164" s="35" t="n">
        <f aca="false"> MOD(280.4664567 + 360007.6982779*L164/10 + 0.03032028*L164^2/100 + L164^3/49931000,360)</f>
        <v>80.3107064235283</v>
      </c>
      <c r="AO164" s="32" t="n">
        <f aca="false"> AN164 + (1.9146 - 0.004817*L164 - 0.000014*L164^2)*SIN(Q164)+ (0.019993 - 0.000101*L164)*SIN(2*Q164)+ 0.00029*SIN(3*Q164)</f>
        <v>81.0447030055588</v>
      </c>
      <c r="AP164" s="32" t="n">
        <f aca="false">ACOS(COS(W164-$A$10*AO164)*COS(Y164))/$A$10</f>
        <v>145.190067631318</v>
      </c>
      <c r="AQ164" s="34" t="n">
        <f aca="false">180 - AP164 -0.1468*(1-0.0549*SIN(Q164))*SIN($A$10*AP164)/(1-0.0167*SIN($A$10*AO164))</f>
        <v>34.7265539422185</v>
      </c>
      <c r="AR164" s="64" t="n">
        <f aca="false">SIN($A$10*AI164)</f>
        <v>0.781172185119024</v>
      </c>
      <c r="AS164" s="64" t="n">
        <f aca="false">COS($A$10*AI164)*SIN($A$10*$B$5) - TAN($A$10*AG164)*COS($A$10*$B$5)</f>
        <v>0.664605219547697</v>
      </c>
      <c r="AT164" s="24" t="n">
        <f aca="false">IF(OR(AND(AR164*AS164&gt;0), AND(AR164&lt;0,AS164&gt;0)), MOD(ATAN2(AS164,AR164)/$A$10+360,360),  ATAN2(AS164,AR164)/$A$10)</f>
        <v>49.6095473890908</v>
      </c>
      <c r="AU164" s="39" t="n">
        <f aca="false"> 385000.56 + (-20905355*COS(P164) - 3699111*COS(2*R164-P164) - 2955968*COS(2*R164) - 569925*COS(2*P164) + (1-0.002516*L164)*48888*COS(Q164) - 3149*COS(2*S164)  +246158*COS(2*R164-2*P164) -(1 - 0.002516*L164)*152138*COS(2*R164-Q164-P164) -170733*COS(2*R164+P164) -(1 - 0.002516*L164)*204586*COS(2*R164-Q164) -(1 - 0.002516*L164)*129620*COS(Q164-P164)  + 108743*COS(R164) +(1-0.002516*L164)*104755*COS(Q164+P164) +10321*COS(2*R164-2*S164) +79661*COS(P164-2*S164) -34782*COS(4*R164-P164) -23210*COS(3*P164)  -21636*COS(4*R164-2*P164) +(1 - 0.002516*L164)*24208*COS(2*R164+Q164-P164) +(1 - 0.002516*L164)*30824*COS(2*R164+Q164) -8379*COS(R164-P164) -(1 - 0.002516*L164)*16675*COS(R164+Q164)  -(1 - 0.002516*L164)*12831*COS(2*R164-Q164+P164) -10445*COS(2*R164+2*P164) -11650*COS(4*R164) +14403*COS(2*R164-3*P164) -(1-0.002516*L164)*7003*COS(Q164-2*P164)  + (1 - 0.002516*L164)*10056*COS(2*R164-Q164-2*P164) +6322*COS(R164+P164) -(1 - 0.002516*L164)*(1-0.002516*L164)*9884*COS(2*R164-2*Q164) +(1-0.002516*L164)*5751*COS(Q164+2*P164) - (1-0.002516*L164)^2*4950*COS(2*R164-2*Q164-P164)  +4130*COS(2*R164+P164-2*S164) -(1-0.002516*L164)*3958*COS(4*R164-Q164-P164) +3258*COS(3*R164-P164) +(1 - 0.002516*L164)*2616*COS(2*R164+Q164+P164) -(1 - 0.002516*L164)*1897*COS(4*R164-Q164-2*P164)  -(1-0.002516*L164)^2*2117*COS(2*Q164-P164) +(1-0.002516*L164)^2*2354*COS(2*R164+2*Q164-P164) -1423*COS(4*R164+P164) -1117*COS(4*P164) -(1-0.002516*L164)*1571*COS(4*R164-Q164)  -1739*COS(R164-2*P164) -4421*COS(2*P164-2*S164) +(1-0.002516*L164)^2*1165*COS(2*Q164+P164) +8752*COS(2*R164-P164-2*S164))/1000</f>
        <v>365455.745758813</v>
      </c>
      <c r="AV164" s="54" t="n">
        <f aca="false">ATAN(0.99664719*TAN($A$10*input!$E$2))</f>
        <v>0.871010436227447</v>
      </c>
      <c r="AW164" s="54" t="n">
        <f aca="false">COS(AV164)</f>
        <v>0.644053912545845</v>
      </c>
      <c r="AX164" s="54" t="n">
        <f aca="false">0.99664719*SIN(AV164)</f>
        <v>0.762415269897027</v>
      </c>
      <c r="AY164" s="54" t="n">
        <f aca="false">6378.14/AU164</f>
        <v>0.0174525645690883</v>
      </c>
      <c r="AZ164" s="55" t="n">
        <f aca="false">M164-15*AH164</f>
        <v>51.3680252075217</v>
      </c>
      <c r="BA164" s="56" t="n">
        <f aca="false">COS($A$10*AG164)*SIN($A$10*AZ164)</f>
        <v>0.750278234471444</v>
      </c>
      <c r="BB164" s="56" t="n">
        <f aca="false">COS($A$10*AG164)*COS($A$10*AZ164)-AW164*AY164</f>
        <v>0.588384689353799</v>
      </c>
      <c r="BC164" s="56" t="n">
        <f aca="false">SIN($A$10*AG164)-AX164*AY164</f>
        <v>-0.291752383972335</v>
      </c>
      <c r="BD164" s="57" t="n">
        <f aca="false">SQRT(BA164^2+BB164^2+BC164^2)</f>
        <v>0.997112543969383</v>
      </c>
      <c r="BE164" s="58" t="n">
        <f aca="false">AU164*BD164</f>
        <v>364400.508361798</v>
      </c>
    </row>
    <row r="165" customFormat="false" ht="15" hidden="false" customHeight="false" outlineLevel="0" collapsed="false">
      <c r="D165" s="41" t="n">
        <f aca="false">K165-INT(275*E165/9)+IF($A$8="common year",2,1)*INT((E165+9)/12)+30</f>
        <v>13</v>
      </c>
      <c r="E165" s="41" t="n">
        <f aca="false">IF(K165&lt;32,1,INT(9*(IF($A$8="common year",2,1)+K165)/275+0.98))</f>
        <v>6</v>
      </c>
      <c r="F165" s="42" t="n">
        <f aca="false">AM165</f>
        <v>10.4671680783176</v>
      </c>
      <c r="G165" s="60" t="n">
        <f aca="false">F165+1.02/(TAN($A$10*(F165+10.3/(F165+5.11)))*60)</f>
        <v>10.5535910928247</v>
      </c>
      <c r="H165" s="43" t="n">
        <f aca="false">100*(1+COS($A$10*AQ165))/2</f>
        <v>96.6716089601748</v>
      </c>
      <c r="I165" s="43" t="n">
        <f aca="false">IF(AI165&gt;180,AT165-180,AT165+180)</f>
        <v>215.565410983171</v>
      </c>
      <c r="J165" s="61" t="n">
        <f aca="false">$J$2+K164</f>
        <v>2459743.5</v>
      </c>
      <c r="K165" s="21" t="n">
        <v>164</v>
      </c>
      <c r="L165" s="62" t="n">
        <f aca="false">(J165-2451545)/36525</f>
        <v>0.224462696783025</v>
      </c>
      <c r="M165" s="63" t="n">
        <f aca="false">MOD(280.46061837+360.98564736629*(J165-2451545)+0.000387933*L165^2-L165^3/38710000+$B$7,360)</f>
        <v>276.290570443496</v>
      </c>
      <c r="N165" s="30" t="n">
        <f aca="false">0.606433+1336.855225*L165 - INT(0.606433+1336.855225*L165)</f>
        <v>0.680562011978111</v>
      </c>
      <c r="O165" s="35" t="n">
        <f aca="false">22640*SIN(P165)-4586*SIN(P165-2*R165)+2370*SIN(2*R165)+769*SIN(2*P165)-668*SIN(Q165)-412*SIN(2*S165)-212*SIN(2*P165-2*R165)-206*SIN(P165+Q165-2*R165)+192*SIN(P165+2*R165)-165*SIN(Q165-2*R165)-125*SIN(R165)-110*SIN(P165+Q165)+148*SIN(P165-Q165)-55*SIN(2*S165-2*R165)</f>
        <v>-14630.2560401576</v>
      </c>
      <c r="P165" s="32" t="n">
        <f aca="false">2*PI()*(0.374897+1325.55241*L165 - INT(0.374897+1325.55241*L165))</f>
        <v>5.7300493350804</v>
      </c>
      <c r="Q165" s="36" t="n">
        <f aca="false">2*PI()*(0.993133+99.997361*L165 - INT(0.993133+99.997361*L165))</f>
        <v>2.75712656308987</v>
      </c>
      <c r="R165" s="36" t="n">
        <f aca="false">2*PI()*(0.827361+1236.853086*L165 - INT(0.827361+1236.853086*L165))</f>
        <v>2.85721699328316</v>
      </c>
      <c r="S165" s="36" t="n">
        <f aca="false">2*PI()*(0.259086+1342.227825*L165 - INT(0.259086+1342.227825*L165))</f>
        <v>3.38766290408771</v>
      </c>
      <c r="T165" s="36" t="n">
        <f aca="false">S165+(O165+412*SIN(2*S165)+541*SIN(Q165))/206264.8062</f>
        <v>3.31866096914318</v>
      </c>
      <c r="U165" s="36" t="n">
        <f aca="false">S165-2*R165</f>
        <v>-2.3267710824786</v>
      </c>
      <c r="V165" s="34" t="n">
        <f aca="false">-526*SIN(U165)+44*SIN(P165+U165)-31*SIN(-P165+U165)-23*SIN(Q165+U165)+11*SIN(-Q165+U165)-25*SIN(-2*P165+S165)+21*SIN(-P165+S165)</f>
        <v>411.707653719015</v>
      </c>
      <c r="W165" s="36" t="n">
        <f aca="false">2*PI()*(N165+O165/1296000-INT(N165+O165/1296000))</f>
        <v>4.20516775142141</v>
      </c>
      <c r="X165" s="35" t="n">
        <f aca="false">W165*180/PI()</f>
        <v>240.938364300965</v>
      </c>
      <c r="Y165" s="36" t="n">
        <f aca="false">(18520*SIN(T165)+V165)/206264.8062</f>
        <v>-0.0138195571706475</v>
      </c>
      <c r="Z165" s="36" t="n">
        <f aca="false">Y165*180/PI()</f>
        <v>-0.791802300617855</v>
      </c>
      <c r="AA165" s="36" t="n">
        <f aca="false">COS(Y165)*COS(W165)</f>
        <v>-0.485703824509679</v>
      </c>
      <c r="AB165" s="36" t="n">
        <f aca="false">COS(Y165)*SIN(W165)</f>
        <v>-0.874014202890191</v>
      </c>
      <c r="AC165" s="36" t="n">
        <f aca="false">SIN(Y165)</f>
        <v>-0.0138191172979737</v>
      </c>
      <c r="AD165" s="36" t="n">
        <f aca="false">COS($A$10*(23.4393-46.815*L165/3600))*AB165-SIN($A$10*(23.4393-46.815*L165/3600))*AC165</f>
        <v>-0.796413724750958</v>
      </c>
      <c r="AE165" s="36" t="n">
        <f aca="false">SIN($A$10*(23.4393-46.815*L165/3600))*AB165+COS($A$10*(23.4393-46.815*L165/3600))*AC165</f>
        <v>-0.360301226593772</v>
      </c>
      <c r="AF165" s="36" t="n">
        <f aca="false">SQRT(1-AE165*AE165)</f>
        <v>0.932836012445394</v>
      </c>
      <c r="AG165" s="35" t="n">
        <f aca="false">ATAN(AE165/AF165)/$A$10</f>
        <v>-21.1186965283633</v>
      </c>
      <c r="AH165" s="36" t="n">
        <f aca="false">IF(24*ATAN(AD165/(AA165+AF165))/PI()&gt;0,24*ATAN(AD165/(AA165+AF165))/PI(),24*ATAN(AD165/(AA165+AF165))/PI()+24)</f>
        <v>15.9081667118698</v>
      </c>
      <c r="AI165" s="63" t="n">
        <f aca="false">IF(M165-15*AH165&gt;0,M165-15*AH165,360+M165-15*AH165)</f>
        <v>37.6680697654493</v>
      </c>
      <c r="AJ165" s="32" t="n">
        <f aca="false">0.950724+0.051818*COS(P165)+0.009531*COS(2*R165-P165)+0.007843*COS(2*R165)+0.002824*COS(2*P165)+0.000857*COS(2*R165+P165)+0.000533*COS(2*R165-Q165)*(1-0.002495*(J165-2415020)/36525)+0.000401*COS(2*R165-Q165-P165)*(1-0.002495*(J165-2415020)/36525)+0.00032*COS(P165-Q165)*(1-0.002495*(J165-2415020)/36525)-0.000271*COS(R165)</f>
        <v>1.01164053725295</v>
      </c>
      <c r="AK165" s="36" t="n">
        <f aca="false">ASIN(COS($A$10*$B$5)*COS($A$10*AG165)*COS($A$10*AI165)+SIN($A$10*$B$5)*SIN($A$10*AG165))/$A$10</f>
        <v>11.4567022633765</v>
      </c>
      <c r="AL165" s="32" t="n">
        <f aca="false">ASIN((0.9983271+0.0016764*COS($A$10*2*$B$5))*COS($A$10*AK165)*SIN($A$10*AJ165))/$A$10</f>
        <v>0.989534185058868</v>
      </c>
      <c r="AM165" s="32" t="n">
        <f aca="false">AK165-AL165</f>
        <v>10.4671680783176</v>
      </c>
      <c r="AN165" s="35" t="n">
        <f aca="false"> MOD(280.4664567 + 360007.6982779*L165/10 + 0.03032028*L165^2/100 + L165^3/49931000,360)</f>
        <v>81.2963537873602</v>
      </c>
      <c r="AO165" s="32" t="n">
        <f aca="false"> AN165 + (1.9146 - 0.004817*L165 - 0.000014*L165^2)*SIN(Q165)+ (0.019993 - 0.000101*L165)*SIN(2*Q165)+ 0.00029*SIN(3*Q165)</f>
        <v>82.0004243853012</v>
      </c>
      <c r="AP165" s="32" t="n">
        <f aca="false">ACOS(COS(W165-$A$10*AO165)*COS(Y165))/$A$10</f>
        <v>158.923737818568</v>
      </c>
      <c r="AQ165" s="34" t="n">
        <f aca="false">180 - AP165 -0.1468*(1-0.0549*SIN(Q165))*SIN($A$10*AP165)/(1-0.0167*SIN($A$10*AO165))</f>
        <v>21.023688984063</v>
      </c>
      <c r="AR165" s="64" t="n">
        <f aca="false">SIN($A$10*AI165)</f>
        <v>0.611086006086062</v>
      </c>
      <c r="AS165" s="64" t="n">
        <f aca="false">COS($A$10*AI165)*SIN($A$10*$B$5) - TAN($A$10*AG165)*COS($A$10*$B$5)</f>
        <v>0.854645470887488</v>
      </c>
      <c r="AT165" s="24" t="n">
        <f aca="false">IF(OR(AND(AR165*AS165&gt;0), AND(AR165&lt;0,AS165&gt;0)), MOD(ATAN2(AS165,AR165)/$A$10+360,360),  ATAN2(AS165,AR165)/$A$10)</f>
        <v>35.5654109831707</v>
      </c>
      <c r="AU165" s="39" t="n">
        <f aca="false"> 385000.56 + (-20905355*COS(P165) - 3699111*COS(2*R165-P165) - 2955968*COS(2*R165) - 569925*COS(2*P165) + (1-0.002516*L165)*48888*COS(Q165) - 3149*COS(2*S165)  +246158*COS(2*R165-2*P165) -(1 - 0.002516*L165)*152138*COS(2*R165-Q165-P165) -170733*COS(2*R165+P165) -(1 - 0.002516*L165)*204586*COS(2*R165-Q165) -(1 - 0.002516*L165)*129620*COS(Q165-P165)  + 108743*COS(R165) +(1-0.002516*L165)*104755*COS(Q165+P165) +10321*COS(2*R165-2*S165) +79661*COS(P165-2*S165) -34782*COS(4*R165-P165) -23210*COS(3*P165)  -21636*COS(4*R165-2*P165) +(1 - 0.002516*L165)*24208*COS(2*R165+Q165-P165) +(1 - 0.002516*L165)*30824*COS(2*R165+Q165) -8379*COS(R165-P165) -(1 - 0.002516*L165)*16675*COS(R165+Q165)  -(1 - 0.002516*L165)*12831*COS(2*R165-Q165+P165) -10445*COS(2*R165+2*P165) -11650*COS(4*R165) +14403*COS(2*R165-3*P165) -(1-0.002516*L165)*7003*COS(Q165-2*P165)  + (1 - 0.002516*L165)*10056*COS(2*R165-Q165-2*P165) +6322*COS(R165+P165) -(1 - 0.002516*L165)*(1-0.002516*L165)*9884*COS(2*R165-2*Q165) +(1-0.002516*L165)*5751*COS(Q165+2*P165) - (1-0.002516*L165)^2*4950*COS(2*R165-2*Q165-P165)  +4130*COS(2*R165+P165-2*S165) -(1-0.002516*L165)*3958*COS(4*R165-Q165-P165) +3258*COS(3*R165-P165) +(1 - 0.002516*L165)*2616*COS(2*R165+Q165+P165) -(1 - 0.002516*L165)*1897*COS(4*R165-Q165-2*P165)  -(1-0.002516*L165)^2*2117*COS(2*Q165-P165) +(1-0.002516*L165)^2*2354*COS(2*R165+2*Q165-P165) -1423*COS(4*R165+P165) -1117*COS(4*P165) -(1-0.002516*L165)*1571*COS(4*R165-Q165)  -1739*COS(R165-2*P165) -4421*COS(2*P165-2*S165) +(1-0.002516*L165)^2*1165*COS(2*Q165+P165) +8752*COS(2*R165-P165-2*S165))/1000</f>
        <v>361119.342676537</v>
      </c>
      <c r="AV165" s="54" t="n">
        <f aca="false">ATAN(0.99664719*TAN($A$10*input!$E$2))</f>
        <v>0.871010436227447</v>
      </c>
      <c r="AW165" s="54" t="n">
        <f aca="false">COS(AV165)</f>
        <v>0.644053912545845</v>
      </c>
      <c r="AX165" s="54" t="n">
        <f aca="false">0.99664719*SIN(AV165)</f>
        <v>0.762415269897027</v>
      </c>
      <c r="AY165" s="54" t="n">
        <f aca="false">6378.14/AU165</f>
        <v>0.0176621389281633</v>
      </c>
      <c r="AZ165" s="55" t="n">
        <f aca="false">M165-15*AH165</f>
        <v>37.6680697654493</v>
      </c>
      <c r="BA165" s="56" t="n">
        <f aca="false">COS($A$10*AG165)*SIN($A$10*AZ165)</f>
        <v>0.570043033178504</v>
      </c>
      <c r="BB165" s="56" t="n">
        <f aca="false">COS($A$10*AG165)*COS($A$10*AZ165)-AW165*AY165</f>
        <v>0.727024228395981</v>
      </c>
      <c r="BC165" s="56" t="n">
        <f aca="false">SIN($A$10*AG165)-AX165*AY165</f>
        <v>-0.373767111011647</v>
      </c>
      <c r="BD165" s="57" t="n">
        <f aca="false">SQRT(BA165^2+BB165^2+BC165^2)</f>
        <v>0.99660179691997</v>
      </c>
      <c r="BE165" s="58" t="n">
        <f aca="false">AU165*BD165</f>
        <v>359892.185813995</v>
      </c>
    </row>
    <row r="166" customFormat="false" ht="15" hidden="false" customHeight="false" outlineLevel="0" collapsed="false">
      <c r="D166" s="41" t="n">
        <f aca="false">K166-INT(275*E166/9)+IF($A$8="common year",2,1)*INT((E166+9)/12)+30</f>
        <v>14</v>
      </c>
      <c r="E166" s="41" t="n">
        <f aca="false">IF(K166&lt;32,1,INT(9*(IF($A$8="common year",2,1)+K166)/275+0.98))</f>
        <v>6</v>
      </c>
      <c r="F166" s="42" t="n">
        <f aca="false">AM166</f>
        <v>11.5346910583843</v>
      </c>
      <c r="G166" s="60" t="n">
        <f aca="false">F166+1.02/(TAN($A$10*(F166+10.3/(F166+5.11)))*60)</f>
        <v>11.6136292327609</v>
      </c>
      <c r="H166" s="43" t="n">
        <f aca="false">100*(1+COS($A$10*AQ166))/2</f>
        <v>99.5947345520012</v>
      </c>
      <c r="I166" s="43" t="n">
        <f aca="false">IF(AI166&gt;180,AT166-180,AT166+180)</f>
        <v>201.107693876613</v>
      </c>
      <c r="J166" s="61" t="n">
        <f aca="false">$J$2+K165</f>
        <v>2459744.5</v>
      </c>
      <c r="K166" s="21" t="n">
        <v>165</v>
      </c>
      <c r="L166" s="62" t="n">
        <f aca="false">(J166-2451545)/36525</f>
        <v>0.224490075290897</v>
      </c>
      <c r="M166" s="63" t="n">
        <f aca="false">MOD(280.46061837+360.98564736629*(J166-2451545)+0.000387933*L166^2-L166^3/38710000+$B$7,360)</f>
        <v>277.276217815001</v>
      </c>
      <c r="N166" s="30" t="n">
        <f aca="false">0.606433+1336.855225*L166 - INT(0.606433+1336.855225*L166)</f>
        <v>0.717163113278559</v>
      </c>
      <c r="O166" s="35" t="n">
        <f aca="false">22640*SIN(P166)-4586*SIN(P166-2*R166)+2370*SIN(2*R166)+769*SIN(2*P166)-668*SIN(Q166)-412*SIN(2*S166)-212*SIN(2*P166-2*R166)-206*SIN(P166+Q166-2*R166)+192*SIN(P166+2*R166)-165*SIN(Q166-2*R166)-125*SIN(R166)-110*SIN(P166+Q166)+148*SIN(P166-Q166)-55*SIN(2*S166-2*R166)</f>
        <v>-8043.86791447482</v>
      </c>
      <c r="P166" s="32" t="n">
        <f aca="false">2*PI()*(0.374897+1325.55241*L166 - INT(0.374897+1325.55241*L166))</f>
        <v>5.95807647885586</v>
      </c>
      <c r="Q166" s="36" t="n">
        <f aca="false">2*PI()*(0.993133+99.997361*L166 - INT(0.993133+99.997361*L166))</f>
        <v>2.77432853295688</v>
      </c>
      <c r="R166" s="36" t="n">
        <f aca="false">2*PI()*(0.827361+1236.853086*L166 - INT(0.827361+1236.853086*L166))</f>
        <v>3.06998570340218</v>
      </c>
      <c r="S166" s="36" t="n">
        <f aca="false">2*PI()*(0.259086+1342.227825*L166 - INT(0.259086+1342.227825*L166))</f>
        <v>3.61855862342872</v>
      </c>
      <c r="T166" s="36" t="n">
        <f aca="false">S166+(O166+412*SIN(2*S166)+541*SIN(Q166))/206264.8062</f>
        <v>3.58213191601058</v>
      </c>
      <c r="U166" s="36" t="n">
        <f aca="false">S166-2*R166</f>
        <v>-2.52141278337564</v>
      </c>
      <c r="V166" s="34" t="n">
        <f aca="false">-526*SIN(U166)+44*SIN(P166+U166)-31*SIN(-P166+U166)-23*SIN(Q166+U166)+11*SIN(-Q166+U166)-25*SIN(-2*P166+S166)+21*SIN(-P166+S166)</f>
        <v>328.947551124079</v>
      </c>
      <c r="W166" s="36" t="n">
        <f aca="false">2*PI()*(N166+O166/1296000-INT(N166+O166/1296000))</f>
        <v>4.46707096406326</v>
      </c>
      <c r="X166" s="35" t="n">
        <f aca="false">W166*180/PI()</f>
        <v>255.944313026261</v>
      </c>
      <c r="Y166" s="36" t="n">
        <f aca="false">(18520*SIN(T166)+V166)/206264.8062</f>
        <v>-0.0366930559578279</v>
      </c>
      <c r="Z166" s="36" t="n">
        <f aca="false">Y166*180/PI()</f>
        <v>-2.1023572438209</v>
      </c>
      <c r="AA166" s="36" t="n">
        <f aca="false">COS(Y166)*COS(W166)</f>
        <v>-0.242701356144871</v>
      </c>
      <c r="AB166" s="36" t="n">
        <f aca="false">COS(Y166)*SIN(W166)</f>
        <v>-0.969407177355388</v>
      </c>
      <c r="AC166" s="36" t="n">
        <f aca="false">SIN(Y166)</f>
        <v>-0.0366848227104806</v>
      </c>
      <c r="AD166" s="36" t="n">
        <f aca="false">COS($A$10*(23.4393-46.815*L166/3600))*AB166-SIN($A$10*(23.4393-46.815*L166/3600))*AC166</f>
        <v>-0.874842607666757</v>
      </c>
      <c r="AE166" s="36" t="n">
        <f aca="false">SIN($A$10*(23.4393-46.815*L166/3600))*AB166+COS($A$10*(23.4393-46.815*L166/3600))*AC166</f>
        <v>-0.419221258449841</v>
      </c>
      <c r="AF166" s="36" t="n">
        <f aca="false">SQRT(1-AE166*AE166)</f>
        <v>0.907884098585129</v>
      </c>
      <c r="AG166" s="35" t="n">
        <f aca="false">ATAN(AE166/AF166)/$A$10</f>
        <v>-24.7854320420768</v>
      </c>
      <c r="AH166" s="36" t="n">
        <f aca="false">IF(24*ATAN(AD166/(AA166+AF166))/PI()&gt;0,24*ATAN(AD166/(AA166+AF166))/PI(),24*ATAN(AD166/(AA166+AF166))/PI()+24)</f>
        <v>16.9663178834361</v>
      </c>
      <c r="AI166" s="63" t="n">
        <f aca="false">IF(M166-15*AH166&gt;0,M166-15*AH166,360+M166-15*AH166)</f>
        <v>22.7814495634598</v>
      </c>
      <c r="AJ166" s="32" t="n">
        <f aca="false">0.950724+0.051818*COS(P166)+0.009531*COS(2*R166-P166)+0.007843*COS(2*R166)+0.002824*COS(2*P166)+0.000857*COS(2*R166+P166)+0.000533*COS(2*R166-Q166)*(1-0.002495*(J166-2415020)/36525)+0.000401*COS(2*R166-Q166-P166)*(1-0.002495*(J166-2415020)/36525)+0.00032*COS(P166-Q166)*(1-0.002495*(J166-2415020)/36525)-0.000271*COS(R166)</f>
        <v>1.01906901025779</v>
      </c>
      <c r="AK166" s="36" t="n">
        <f aca="false">ASIN(COS($A$10*$B$5)*COS($A$10*AG166)*COS($A$10*AI166)+SIN($A$10*$B$5)*SIN($A$10*AG166))/$A$10</f>
        <v>12.5275414615513</v>
      </c>
      <c r="AL166" s="32" t="n">
        <f aca="false">ASIN((0.9983271+0.0016764*COS($A$10*2*$B$5))*COS($A$10*AK166)*SIN($A$10*AJ166))/$A$10</f>
        <v>0.992850403167007</v>
      </c>
      <c r="AM166" s="32" t="n">
        <f aca="false">AK166-AL166</f>
        <v>11.5346910583843</v>
      </c>
      <c r="AN166" s="35" t="n">
        <f aca="false"> MOD(280.4664567 + 360007.6982779*L166/10 + 0.03032028*L166^2/100 + L166^3/49931000,360)</f>
        <v>82.2820011511903</v>
      </c>
      <c r="AO166" s="32" t="n">
        <f aca="false"> AN166 + (1.9146 - 0.004817*L166 - 0.000014*L166^2)*SIN(Q166)+ (0.019993 - 0.000101*L166)*SIN(2*Q166)+ 0.00029*SIN(3*Q166)</f>
        <v>82.9559491329389</v>
      </c>
      <c r="AP166" s="32" t="n">
        <f aca="false">ACOS(COS(W166-$A$10*AO166)*COS(Y166))/$A$10</f>
        <v>172.68147154223</v>
      </c>
      <c r="AQ166" s="34" t="n">
        <f aca="false">180 - AP166 -0.1468*(1-0.0549*SIN(Q166))*SIN($A$10*AP166)/(1-0.0167*SIN($A$10*AO166))</f>
        <v>7.29988796845281</v>
      </c>
      <c r="AR166" s="64" t="n">
        <f aca="false">SIN($A$10*AI166)</f>
        <v>0.387217098021559</v>
      </c>
      <c r="AS166" s="64" t="n">
        <f aca="false">COS($A$10*AI166)*SIN($A$10*$B$5) - TAN($A$10*AG166)*COS($A$10*$B$5)</f>
        <v>1.00309548708434</v>
      </c>
      <c r="AT166" s="24" t="n">
        <f aca="false">IF(OR(AND(AR166*AS166&gt;0), AND(AR166&lt;0,AS166&gt;0)), MOD(ATAN2(AS166,AR166)/$A$10+360,360),  ATAN2(AS166,AR166)/$A$10)</f>
        <v>21.1076938766129</v>
      </c>
      <c r="AU166" s="39" t="n">
        <f aca="false"> 385000.56 + (-20905355*COS(P166) - 3699111*COS(2*R166-P166) - 2955968*COS(2*R166) - 569925*COS(2*P166) + (1-0.002516*L166)*48888*COS(Q166) - 3149*COS(2*S166)  +246158*COS(2*R166-2*P166) -(1 - 0.002516*L166)*152138*COS(2*R166-Q166-P166) -170733*COS(2*R166+P166) -(1 - 0.002516*L166)*204586*COS(2*R166-Q166) -(1 - 0.002516*L166)*129620*COS(Q166-P166)  + 108743*COS(R166) +(1-0.002516*L166)*104755*COS(Q166+P166) +10321*COS(2*R166-2*S166) +79661*COS(P166-2*S166) -34782*COS(4*R166-P166) -23210*COS(3*P166)  -21636*COS(4*R166-2*P166) +(1 - 0.002516*L166)*24208*COS(2*R166+Q166-P166) +(1 - 0.002516*L166)*30824*COS(2*R166+Q166) -8379*COS(R166-P166) -(1 - 0.002516*L166)*16675*COS(R166+Q166)  -(1 - 0.002516*L166)*12831*COS(2*R166-Q166+P166) -10445*COS(2*R166+2*P166) -11650*COS(4*R166) +14403*COS(2*R166-3*P166) -(1-0.002516*L166)*7003*COS(Q166-2*P166)  + (1 - 0.002516*L166)*10056*COS(2*R166-Q166-2*P166) +6322*COS(R166+P166) -(1 - 0.002516*L166)*(1-0.002516*L166)*9884*COS(2*R166-2*Q166) +(1-0.002516*L166)*5751*COS(Q166+2*P166) - (1-0.002516*L166)^2*4950*COS(2*R166-2*Q166-P166)  +4130*COS(2*R166+P166-2*S166) -(1-0.002516*L166)*3958*COS(4*R166-Q166-P166) +3258*COS(3*R166-P166) +(1 - 0.002516*L166)*2616*COS(2*R166+Q166+P166) -(1 - 0.002516*L166)*1897*COS(4*R166-Q166-2*P166)  -(1-0.002516*L166)^2*2117*COS(2*Q166-P166) +(1-0.002516*L166)^2*2354*COS(2*R166+2*Q166-P166) -1423*COS(4*R166+P166) -1117*COS(4*P166) -(1-0.002516*L166)*1571*COS(4*R166-Q166)  -1739*COS(R166-2*P166) -4421*COS(2*P166-2*S166) +(1-0.002516*L166)^2*1165*COS(2*Q166+P166) +8752*COS(2*R166-P166-2*S166))/1000</f>
        <v>358353.174278262</v>
      </c>
      <c r="AV166" s="54" t="n">
        <f aca="false">ATAN(0.99664719*TAN($A$10*input!$E$2))</f>
        <v>0.871010436227447</v>
      </c>
      <c r="AW166" s="54" t="n">
        <f aca="false">COS(AV166)</f>
        <v>0.644053912545845</v>
      </c>
      <c r="AX166" s="54" t="n">
        <f aca="false">0.99664719*SIN(AV166)</f>
        <v>0.762415269897027</v>
      </c>
      <c r="AY166" s="54" t="n">
        <f aca="false">6378.14/AU166</f>
        <v>0.0177984749621539</v>
      </c>
      <c r="AZ166" s="55" t="n">
        <f aca="false">M166-15*AH166</f>
        <v>22.7814495634598</v>
      </c>
      <c r="BA166" s="56" t="n">
        <f aca="false">COS($A$10*AG166)*SIN($A$10*AZ166)</f>
        <v>0.351548245994053</v>
      </c>
      <c r="BB166" s="56" t="n">
        <f aca="false">COS($A$10*AG166)*COS($A$10*AZ166)-AW166*AY166</f>
        <v>0.825595582270285</v>
      </c>
      <c r="BC166" s="56" t="n">
        <f aca="false">SIN($A$10*AG166)-AX166*AY166</f>
        <v>-0.432791087541867</v>
      </c>
      <c r="BD166" s="57" t="n">
        <f aca="false">SQRT(BA166^2+BB166^2+BC166^2)</f>
        <v>0.996244126798938</v>
      </c>
      <c r="BE166" s="58" t="n">
        <f aca="false">AU166*BD166</f>
        <v>357007.245194474</v>
      </c>
    </row>
    <row r="167" customFormat="false" ht="15" hidden="false" customHeight="false" outlineLevel="0" collapsed="false">
      <c r="D167" s="41" t="n">
        <f aca="false">K167-INT(275*E167/9)+IF($A$8="common year",2,1)*INT((E167+9)/12)+30</f>
        <v>15</v>
      </c>
      <c r="E167" s="41" t="n">
        <f aca="false">IF(K167&lt;32,1,INT(9*(IF($A$8="common year",2,1)+K167)/275+0.98))</f>
        <v>6</v>
      </c>
      <c r="F167" s="42" t="n">
        <f aca="false">AM167</f>
        <v>12.0461302975775</v>
      </c>
      <c r="G167" s="60" t="n">
        <f aca="false">F167+1.02/(TAN($A$10*(F167+10.3/(F167+5.11)))*60)</f>
        <v>12.1218950502935</v>
      </c>
      <c r="H167" s="43" t="n">
        <f aca="false">100*(1+COS($A$10*AQ167))/2</f>
        <v>99.5258891161611</v>
      </c>
      <c r="I167" s="43" t="n">
        <f aca="false">IF(AI167&gt;180,AT167-180,AT167+180)</f>
        <v>186.423347951766</v>
      </c>
      <c r="J167" s="61" t="n">
        <f aca="false">$J$2+K166</f>
        <v>2459745.5</v>
      </c>
      <c r="K167" s="21" t="n">
        <v>166</v>
      </c>
      <c r="L167" s="62" t="n">
        <f aca="false">(J167-2451545)/36525</f>
        <v>0.224517453798768</v>
      </c>
      <c r="M167" s="63" t="n">
        <f aca="false">MOD(280.46061837+360.98564736629*(J167-2451545)+0.000387933*L167^2-L167^3/38710000+$B$7,360)</f>
        <v>278.261865185574</v>
      </c>
      <c r="N167" s="30" t="n">
        <f aca="false">0.606433+1336.855225*L167 - INT(0.606433+1336.855225*L167)</f>
        <v>0.753764214579064</v>
      </c>
      <c r="O167" s="35" t="n">
        <f aca="false">22640*SIN(P167)-4586*SIN(P167-2*R167)+2370*SIN(2*R167)+769*SIN(2*P167)-668*SIN(Q167)-412*SIN(2*S167)-212*SIN(2*P167-2*R167)-206*SIN(P167+Q167-2*R167)+192*SIN(P167+2*R167)-165*SIN(Q167-2*R167)-125*SIN(R167)-110*SIN(P167+Q167)+148*SIN(P167-Q167)-55*SIN(2*S167-2*R167)</f>
        <v>-839.305615207978</v>
      </c>
      <c r="P167" s="32" t="n">
        <f aca="false">2*PI()*(0.374897+1325.55241*L167 - INT(0.374897+1325.55241*L167))</f>
        <v>6.18610362263168</v>
      </c>
      <c r="Q167" s="36" t="n">
        <f aca="false">2*PI()*(0.993133+99.997361*L167 - INT(0.993133+99.997361*L167))</f>
        <v>2.79153050282387</v>
      </c>
      <c r="R167" s="36" t="n">
        <f aca="false">2*PI()*(0.827361+1236.853086*L167 - INT(0.827361+1236.853086*L167))</f>
        <v>3.28275441352085</v>
      </c>
      <c r="S167" s="36" t="n">
        <f aca="false">2*PI()*(0.259086+1342.227825*L167 - INT(0.259086+1342.227825*L167))</f>
        <v>3.84945434276972</v>
      </c>
      <c r="T167" s="36" t="n">
        <f aca="false">S167+(O167+412*SIN(2*S167)+541*SIN(Q167))/206264.8062</f>
        <v>3.84825825793354</v>
      </c>
      <c r="U167" s="36" t="n">
        <f aca="false">S167-2*R167</f>
        <v>-2.71605448427197</v>
      </c>
      <c r="V167" s="34" t="n">
        <f aca="false">-526*SIN(U167)+44*SIN(P167+U167)-31*SIN(-P167+U167)-23*SIN(Q167+U167)+11*SIN(-Q167+U167)-25*SIN(-2*P167+S167)+21*SIN(-P167+S167)</f>
        <v>228.863955108154</v>
      </c>
      <c r="W167" s="36" t="n">
        <f aca="false">2*PI()*(N167+O167/1296000-INT(N167+O167/1296000))</f>
        <v>4.73197116967209</v>
      </c>
      <c r="X167" s="35" t="n">
        <f aca="false">W167*180/PI()</f>
        <v>271.121976799794</v>
      </c>
      <c r="Y167" s="36" t="n">
        <f aca="false">(18520*SIN(T167)+V167)/206264.8062</f>
        <v>-0.0571895882410059</v>
      </c>
      <c r="Z167" s="36" t="n">
        <f aca="false">Y167*180/PI()</f>
        <v>-3.27672203830064</v>
      </c>
      <c r="AA167" s="36" t="n">
        <f aca="false">COS(Y167)*COS(W167)</f>
        <v>0.0195489253458946</v>
      </c>
      <c r="AB167" s="36" t="n">
        <f aca="false">COS(Y167)*SIN(W167)</f>
        <v>-0.998173709669322</v>
      </c>
      <c r="AC167" s="36" t="n">
        <f aca="false">SIN(Y167)</f>
        <v>-0.0571584188270244</v>
      </c>
      <c r="AD167" s="36" t="n">
        <f aca="false">COS($A$10*(23.4393-46.815*L167/3600))*AB167-SIN($A$10*(23.4393-46.815*L167/3600))*AC167</f>
        <v>-0.893092994400086</v>
      </c>
      <c r="AE167" s="36" t="n">
        <f aca="false">SIN($A$10*(23.4393-46.815*L167/3600))*AB167+COS($A$10*(23.4393-46.815*L167/3600))*AC167</f>
        <v>-0.449447152478808</v>
      </c>
      <c r="AF167" s="36" t="n">
        <f aca="false">SQRT(1-AE167*AE167)</f>
        <v>0.893306922131857</v>
      </c>
      <c r="AG167" s="35" t="n">
        <f aca="false">ATAN(AE167/AF167)/$A$10</f>
        <v>-26.708219359263</v>
      </c>
      <c r="AH167" s="36" t="n">
        <f aca="false">IF(24*ATAN(AD167/(AA167+AF167))/PI()&gt;0,24*ATAN(AD167/(AA167+AF167))/PI(),24*ATAN(AD167/(AA167+AF167))/PI()+24)</f>
        <v>18.0835965264262</v>
      </c>
      <c r="AI167" s="63" t="n">
        <f aca="false">IF(M167-15*AH167&gt;0,M167-15*AH167,360+M167-15*AH167)</f>
        <v>7.00791728918114</v>
      </c>
      <c r="AJ167" s="32" t="n">
        <f aca="false">0.950724+0.051818*COS(P167)+0.009531*COS(2*R167-P167)+0.007843*COS(2*R167)+0.002824*COS(2*P167)+0.000857*COS(2*R167+P167)+0.000533*COS(2*R167-Q167)*(1-0.002495*(J167-2415020)/36525)+0.000401*COS(2*R167-Q167-P167)*(1-0.002495*(J167-2415020)/36525)+0.00032*COS(P167-Q167)*(1-0.002495*(J167-2415020)/36525)-0.000271*COS(R167)</f>
        <v>1.02152975957851</v>
      </c>
      <c r="AK167" s="36" t="n">
        <f aca="false">ASIN(COS($A$10*$B$5)*COS($A$10*AG167)*COS($A$10*AI167)+SIN($A$10*$B$5)*SIN($A$10*AG167))/$A$10</f>
        <v>13.039362778049</v>
      </c>
      <c r="AL167" s="32" t="n">
        <f aca="false">ASIN((0.9983271+0.0016764*COS($A$10*2*$B$5))*COS($A$10*AK167)*SIN($A$10*AJ167))/$A$10</f>
        <v>0.993232480471521</v>
      </c>
      <c r="AM167" s="32" t="n">
        <f aca="false">AK167-AL167</f>
        <v>12.0461302975775</v>
      </c>
      <c r="AN167" s="35" t="n">
        <f aca="false"> MOD(280.4664567 + 360007.6982779*L167/10 + 0.03032028*L167^2/100 + L167^3/49931000,360)</f>
        <v>83.2676485150223</v>
      </c>
      <c r="AO167" s="32" t="n">
        <f aca="false"> AN167 + (1.9146 - 0.004817*L167 - 0.000014*L167^2)*SIN(Q167)+ (0.019993 - 0.000101*L167)*SIN(2*Q167)+ 0.00029*SIN(3*Q167)</f>
        <v>83.9112857315089</v>
      </c>
      <c r="AP167" s="32" t="n">
        <f aca="false">ACOS(COS(W167-$A$10*AO167)*COS(Y167))/$A$10</f>
        <v>172.083295133099</v>
      </c>
      <c r="AQ167" s="34" t="n">
        <f aca="false">180 - AP167 -0.1468*(1-0.0549*SIN(Q167))*SIN($A$10*AP167)/(1-0.0167*SIN($A$10*AO167))</f>
        <v>7.89653131048263</v>
      </c>
      <c r="AR167" s="64" t="n">
        <f aca="false">SIN($A$10*AI167)</f>
        <v>0.12200649501187</v>
      </c>
      <c r="AS167" s="64" t="n">
        <f aca="false">COS($A$10*AI167)*SIN($A$10*$B$5) - TAN($A$10*AG167)*COS($A$10*$B$5)</f>
        <v>1.08372558880861</v>
      </c>
      <c r="AT167" s="24" t="n">
        <f aca="false">IF(OR(AND(AR167*AS167&gt;0), AND(AR167&lt;0,AS167&gt;0)), MOD(ATAN2(AS167,AR167)/$A$10+360,360),  ATAN2(AS167,AR167)/$A$10)</f>
        <v>6.42334795176629</v>
      </c>
      <c r="AU167" s="39" t="n">
        <f aca="false"> 385000.56 + (-20905355*COS(P167) - 3699111*COS(2*R167-P167) - 2955968*COS(2*R167) - 569925*COS(2*P167) + (1-0.002516*L167)*48888*COS(Q167) - 3149*COS(2*S167)  +246158*COS(2*R167-2*P167) -(1 - 0.002516*L167)*152138*COS(2*R167-Q167-P167) -170733*COS(2*R167+P167) -(1 - 0.002516*L167)*204586*COS(2*R167-Q167) -(1 - 0.002516*L167)*129620*COS(Q167-P167)  + 108743*COS(R167) +(1-0.002516*L167)*104755*COS(Q167+P167) +10321*COS(2*R167-2*S167) +79661*COS(P167-2*S167) -34782*COS(4*R167-P167) -23210*COS(3*P167)  -21636*COS(4*R167-2*P167) +(1 - 0.002516*L167)*24208*COS(2*R167+Q167-P167) +(1 - 0.002516*L167)*30824*COS(2*R167+Q167) -8379*COS(R167-P167) -(1 - 0.002516*L167)*16675*COS(R167+Q167)  -(1 - 0.002516*L167)*12831*COS(2*R167-Q167+P167) -10445*COS(2*R167+2*P167) -11650*COS(4*R167) +14403*COS(2*R167-3*P167) -(1-0.002516*L167)*7003*COS(Q167-2*P167)  + (1 - 0.002516*L167)*10056*COS(2*R167-Q167-2*P167) +6322*COS(R167+P167) -(1 - 0.002516*L167)*(1-0.002516*L167)*9884*COS(2*R167-2*Q167) +(1-0.002516*L167)*5751*COS(Q167+2*P167) - (1-0.002516*L167)^2*4950*COS(2*R167-2*Q167-P167)  +4130*COS(2*R167+P167-2*S167) -(1-0.002516*L167)*3958*COS(4*R167-Q167-P167) +3258*COS(3*R167-P167) +(1 - 0.002516*L167)*2616*COS(2*R167+Q167+P167) -(1 - 0.002516*L167)*1897*COS(4*R167-Q167-2*P167)  -(1-0.002516*L167)^2*2117*COS(2*Q167-P167) +(1-0.002516*L167)^2*2354*COS(2*R167+2*Q167-P167) -1423*COS(4*R167+P167) -1117*COS(4*P167) -(1-0.002516*L167)*1571*COS(4*R167-Q167)  -1739*COS(R167-2*P167) -4421*COS(2*P167-2*S167) +(1-0.002516*L167)^2*1165*COS(2*Q167+P167) +8752*COS(2*R167-P167-2*S167))/1000</f>
        <v>357435.249219385</v>
      </c>
      <c r="AV167" s="54" t="n">
        <f aca="false">ATAN(0.99664719*TAN($A$10*input!$E$2))</f>
        <v>0.871010436227447</v>
      </c>
      <c r="AW167" s="54" t="n">
        <f aca="false">COS(AV167)</f>
        <v>0.644053912545845</v>
      </c>
      <c r="AX167" s="54" t="n">
        <f aca="false">0.99664719*SIN(AV167)</f>
        <v>0.762415269897027</v>
      </c>
      <c r="AY167" s="54" t="n">
        <f aca="false">6378.14/AU167</f>
        <v>0.0178441830063751</v>
      </c>
      <c r="AZ167" s="55" t="n">
        <f aca="false">M167-15*AH167</f>
        <v>7.00791728918114</v>
      </c>
      <c r="BA167" s="56" t="n">
        <f aca="false">COS($A$10*AG167)*SIN($A$10*AZ167)</f>
        <v>0.108989246539149</v>
      </c>
      <c r="BB167" s="56" t="n">
        <f aca="false">COS($A$10*AG167)*COS($A$10*AZ167)-AW167*AY167</f>
        <v>0.875140679944698</v>
      </c>
      <c r="BC167" s="56" t="n">
        <f aca="false">SIN($A$10*AG167)-AX167*AY167</f>
        <v>-0.463051830081706</v>
      </c>
      <c r="BD167" s="57" t="n">
        <f aca="false">SQRT(BA167^2+BB167^2+BC167^2)</f>
        <v>0.996075731507026</v>
      </c>
      <c r="BE167" s="58" t="n">
        <f aca="false">AU167*BD167</f>
        <v>356032.577332595</v>
      </c>
    </row>
    <row r="168" customFormat="false" ht="15" hidden="false" customHeight="false" outlineLevel="0" collapsed="false">
      <c r="D168" s="41" t="n">
        <f aca="false">K168-INT(275*E168/9)+IF($A$8="common year",2,1)*INT((E168+9)/12)+30</f>
        <v>16</v>
      </c>
      <c r="E168" s="41" t="n">
        <f aca="false">IF(K168&lt;32,1,INT(9*(IF($A$8="common year",2,1)+K168)/275+0.98))</f>
        <v>6</v>
      </c>
      <c r="F168" s="42" t="n">
        <f aca="false">AM168</f>
        <v>11.9644550208433</v>
      </c>
      <c r="G168" s="60" t="n">
        <f aca="false">F168+1.02/(TAN($A$10*(F168+10.3/(F168+5.11)))*60)</f>
        <v>12.0407105806824</v>
      </c>
      <c r="H168" s="43" t="n">
        <f aca="false">100*(1+COS($A$10*AQ168))/2</f>
        <v>96.4289174539927</v>
      </c>
      <c r="I168" s="43" t="n">
        <f aca="false">IF(AI168&gt;180,AT168-180,AT168+180)</f>
        <v>171.734860084179</v>
      </c>
      <c r="J168" s="61" t="n">
        <f aca="false">$J$2+K167</f>
        <v>2459746.5</v>
      </c>
      <c r="K168" s="21" t="n">
        <v>167</v>
      </c>
      <c r="L168" s="62" t="n">
        <f aca="false">(J168-2451545)/36525</f>
        <v>0.224544832306639</v>
      </c>
      <c r="M168" s="63" t="n">
        <f aca="false">MOD(280.46061837+360.98564736629*(J168-2451545)+0.000387933*L168^2-L168^3/38710000+$B$7,360)</f>
        <v>279.247512556613</v>
      </c>
      <c r="N168" s="30" t="n">
        <f aca="false">0.606433+1336.855225*L168 - INT(0.606433+1336.855225*L168)</f>
        <v>0.790365315879512</v>
      </c>
      <c r="O168" s="35" t="n">
        <f aca="false">22640*SIN(P168)-4586*SIN(P168-2*R168)+2370*SIN(2*R168)+769*SIN(2*P168)-668*SIN(Q168)-412*SIN(2*S168)-212*SIN(2*P168-2*R168)-206*SIN(P168+Q168-2*R168)+192*SIN(P168+2*R168)-165*SIN(Q168-2*R168)-125*SIN(R168)-110*SIN(P168+Q168)+148*SIN(P168-Q168)-55*SIN(2*S168-2*R168)</f>
        <v>6420.3082601465</v>
      </c>
      <c r="P168" s="32" t="n">
        <f aca="false">2*PI()*(0.374897+1325.55241*L168 - INT(0.374897+1325.55241*L168))</f>
        <v>0.130945459227908</v>
      </c>
      <c r="Q168" s="36" t="n">
        <f aca="false">2*PI()*(0.993133+99.997361*L168 - INT(0.993133+99.997361*L168))</f>
        <v>2.80873247269085</v>
      </c>
      <c r="R168" s="36" t="n">
        <f aca="false">2*PI()*(0.827361+1236.853086*L168 - INT(0.827361+1236.853086*L168))</f>
        <v>3.49552312363987</v>
      </c>
      <c r="S168" s="36" t="n">
        <f aca="false">2*PI()*(0.259086+1342.227825*L168 - INT(0.259086+1342.227825*L168))</f>
        <v>4.08035006211037</v>
      </c>
      <c r="T168" s="36" t="n">
        <f aca="false">S168+(O168+412*SIN(2*S168)+541*SIN(Q168))/206264.8062</f>
        <v>4.11423781332493</v>
      </c>
      <c r="U168" s="36" t="n">
        <f aca="false">S168-2*R168</f>
        <v>-2.91069618516937</v>
      </c>
      <c r="V168" s="34" t="n">
        <f aca="false">-526*SIN(U168)+44*SIN(P168+U168)-31*SIN(-P168+U168)-23*SIN(Q168+U168)+11*SIN(-Q168+U168)-25*SIN(-2*P168+S168)+21*SIN(-P168+S168)</f>
        <v>116.592334124034</v>
      </c>
      <c r="W168" s="36" t="n">
        <f aca="false">2*PI()*(N168+O168/1296000-INT(N168+O168/1296000))</f>
        <v>4.9971382728531</v>
      </c>
      <c r="X168" s="35" t="n">
        <f aca="false">W168*180/PI()</f>
        <v>286.314932677776</v>
      </c>
      <c r="Y168" s="36" t="n">
        <f aca="false">(18520*SIN(T168)+V168)/206264.8062</f>
        <v>-0.0736331659057092</v>
      </c>
      <c r="Z168" s="36" t="n">
        <f aca="false">Y168*180/PI()</f>
        <v>-4.21886963858372</v>
      </c>
      <c r="AA168" s="36" t="n">
        <f aca="false">COS(Y168)*COS(W168)</f>
        <v>0.280155648536215</v>
      </c>
      <c r="AB168" s="36" t="n">
        <f aca="false">COS(Y168)*SIN(W168)</f>
        <v>-0.957131527631028</v>
      </c>
      <c r="AC168" s="36" t="n">
        <f aca="false">SIN(Y168)</f>
        <v>-0.0735666460289427</v>
      </c>
      <c r="AD168" s="36" t="n">
        <f aca="false">COS($A$10*(23.4393-46.815*L168/3600))*AB168-SIN($A$10*(23.4393-46.815*L168/3600))*AC168</f>
        <v>-0.848910648893684</v>
      </c>
      <c r="AE168" s="36" t="n">
        <f aca="false">SIN($A$10*(23.4393-46.815*L168/3600))*AB168+COS($A$10*(23.4393-46.815*L168/3600))*AC168</f>
        <v>-0.448178003463085</v>
      </c>
      <c r="AF168" s="36" t="n">
        <f aca="false">SQRT(1-AE168*AE168)</f>
        <v>0.893944336752487</v>
      </c>
      <c r="AG168" s="35" t="n">
        <f aca="false">ATAN(AE168/AF168)/$A$10</f>
        <v>-26.6268465029397</v>
      </c>
      <c r="AH168" s="36" t="n">
        <f aca="false">IF(24*ATAN(AD168/(AA168+AF168))/PI()&gt;0,24*ATAN(AD168/(AA168+AF168))/PI(),24*ATAN(AD168/(AA168+AF168))/PI()+24)</f>
        <v>19.2175874062668</v>
      </c>
      <c r="AI168" s="63" t="n">
        <f aca="false">IF(M168-15*AH168&gt;0,M168-15*AH168,360+M168-15*AH168)</f>
        <v>350.983701462611</v>
      </c>
      <c r="AJ168" s="32" t="n">
        <f aca="false">0.950724+0.051818*COS(P168)+0.009531*COS(2*R168-P168)+0.007843*COS(2*R168)+0.002824*COS(2*P168)+0.000857*COS(2*R168+P168)+0.000533*COS(2*R168-Q168)*(1-0.002495*(J168-2415020)/36525)+0.000401*COS(2*R168-Q168-P168)*(1-0.002495*(J168-2415020)/36525)+0.00032*COS(P168-Q168)*(1-0.002495*(J168-2415020)/36525)-0.000271*COS(R168)</f>
        <v>1.01880080931212</v>
      </c>
      <c r="AK168" s="36" t="n">
        <f aca="false">ASIN(COS($A$10*$B$5)*COS($A$10*AG168)*COS($A$10*AI168)+SIN($A$10*$B$5)*SIN($A$10*AG168))/$A$10</f>
        <v>12.9553694357664</v>
      </c>
      <c r="AL168" s="32" t="n">
        <f aca="false">ASIN((0.9983271+0.0016764*COS($A$10*2*$B$5))*COS($A$10*AK168)*SIN($A$10*AJ168))/$A$10</f>
        <v>0.990914414923172</v>
      </c>
      <c r="AM168" s="32" t="n">
        <f aca="false">AK168-AL168</f>
        <v>11.9644550208433</v>
      </c>
      <c r="AN168" s="35" t="n">
        <f aca="false"> MOD(280.4664567 + 360007.6982779*L168/10 + 0.03032028*L168^2/100 + L168^3/49931000,360)</f>
        <v>84.2532958788524</v>
      </c>
      <c r="AO168" s="32" t="n">
        <f aca="false"> AN168 + (1.9146 - 0.004817*L168 - 0.000014*L168^2)*SIN(Q168)+ (0.019993 - 0.000101*L168)*SIN(2*Q168)+ 0.00029*SIN(3*Q168)</f>
        <v>84.8664427072824</v>
      </c>
      <c r="AP168" s="32" t="n">
        <f aca="false">ACOS(COS(W168-$A$10*AO168)*COS(Y168))/$A$10</f>
        <v>158.159738996354</v>
      </c>
      <c r="AQ168" s="34" t="n">
        <f aca="false">180 - AP168 -0.1468*(1-0.0549*SIN(Q168))*SIN($A$10*AP168)/(1-0.0167*SIN($A$10*AO168))</f>
        <v>21.7857209399875</v>
      </c>
      <c r="AR168" s="64" t="n">
        <f aca="false">SIN($A$10*AI168)</f>
        <v>-0.156715419634559</v>
      </c>
      <c r="AS168" s="64" t="n">
        <f aca="false">COS($A$10*AI168)*SIN($A$10*$B$5) - TAN($A$10*AG168)*COS($A$10*$B$5)</f>
        <v>1.07883990180713</v>
      </c>
      <c r="AT168" s="24" t="n">
        <f aca="false">IF(OR(AND(AR168*AS168&gt;0), AND(AR168&lt;0,AS168&gt;0)), MOD(ATAN2(AS168,AR168)/$A$10+360,360),  ATAN2(AS168,AR168)/$A$10)</f>
        <v>351.734860084179</v>
      </c>
      <c r="AU168" s="39" t="n">
        <f aca="false"> 385000.56 + (-20905355*COS(P168) - 3699111*COS(2*R168-P168) - 2955968*COS(2*R168) - 569925*COS(2*P168) + (1-0.002516*L168)*48888*COS(Q168) - 3149*COS(2*S168)  +246158*COS(2*R168-2*P168) -(1 - 0.002516*L168)*152138*COS(2*R168-Q168-P168) -170733*COS(2*R168+P168) -(1 - 0.002516*L168)*204586*COS(2*R168-Q168) -(1 - 0.002516*L168)*129620*COS(Q168-P168)  + 108743*COS(R168) +(1-0.002516*L168)*104755*COS(Q168+P168) +10321*COS(2*R168-2*S168) +79661*COS(P168-2*S168) -34782*COS(4*R168-P168) -23210*COS(3*P168)  -21636*COS(4*R168-2*P168) +(1 - 0.002516*L168)*24208*COS(2*R168+Q168-P168) +(1 - 0.002516*L168)*30824*COS(2*R168+Q168) -8379*COS(R168-P168) -(1 - 0.002516*L168)*16675*COS(R168+Q168)  -(1 - 0.002516*L168)*12831*COS(2*R168-Q168+P168) -10445*COS(2*R168+2*P168) -11650*COS(4*R168) +14403*COS(2*R168-3*P168) -(1-0.002516*L168)*7003*COS(Q168-2*P168)  + (1 - 0.002516*L168)*10056*COS(2*R168-Q168-2*P168) +6322*COS(R168+P168) -(1 - 0.002516*L168)*(1-0.002516*L168)*9884*COS(2*R168-2*Q168) +(1-0.002516*L168)*5751*COS(Q168+2*P168) - (1-0.002516*L168)^2*4950*COS(2*R168-2*Q168-P168)  +4130*COS(2*R168+P168-2*S168) -(1-0.002516*L168)*3958*COS(4*R168-Q168-P168) +3258*COS(3*R168-P168) +(1 - 0.002516*L168)*2616*COS(2*R168+Q168+P168) -(1 - 0.002516*L168)*1897*COS(4*R168-Q168-2*P168)  -(1-0.002516*L168)^2*2117*COS(2*Q168-P168) +(1-0.002516*L168)^2*2354*COS(2*R168+2*Q168-P168) -1423*COS(4*R168+P168) -1117*COS(4*P168) -(1-0.002516*L168)*1571*COS(4*R168-Q168)  -1739*COS(R168-2*P168) -4421*COS(2*P168-2*S168) +(1-0.002516*L168)^2*1165*COS(2*Q168+P168) +8752*COS(2*R168-P168-2*S168))/1000</f>
        <v>358435.130337605</v>
      </c>
      <c r="AV168" s="54" t="n">
        <f aca="false">ATAN(0.99664719*TAN($A$10*input!$E$2))</f>
        <v>0.871010436227447</v>
      </c>
      <c r="AW168" s="54" t="n">
        <f aca="false">COS(AV168)</f>
        <v>0.644053912545845</v>
      </c>
      <c r="AX168" s="54" t="n">
        <f aca="false">0.99664719*SIN(AV168)</f>
        <v>0.762415269897027</v>
      </c>
      <c r="AY168" s="54" t="n">
        <f aca="false">6378.14/AU168</f>
        <v>0.0177944053474684</v>
      </c>
      <c r="AZ168" s="55" t="n">
        <f aca="false">M168-15*AH168</f>
        <v>-9.01629853738928</v>
      </c>
      <c r="BA168" s="56" t="n">
        <f aca="false">COS($A$10*AG168)*SIN($A$10*AZ168)</f>
        <v>-0.140094861864105</v>
      </c>
      <c r="BB168" s="56" t="n">
        <f aca="false">COS($A$10*AG168)*COS($A$10*AZ168)-AW168*AY168</f>
        <v>0.871438026063914</v>
      </c>
      <c r="BC168" s="56" t="n">
        <f aca="false">SIN($A$10*AG168)-AX168*AY168</f>
        <v>-0.461744729818732</v>
      </c>
      <c r="BD168" s="57" t="n">
        <f aca="false">SQRT(BA168^2+BB168^2+BC168^2)</f>
        <v>0.996111941051942</v>
      </c>
      <c r="BE168" s="58" t="n">
        <f aca="false">AU168*BD168</f>
        <v>357041.513421798</v>
      </c>
    </row>
    <row r="169" customFormat="false" ht="15" hidden="false" customHeight="false" outlineLevel="0" collapsed="false">
      <c r="D169" s="41" t="n">
        <f aca="false">K169-INT(275*E169/9)+IF($A$8="common year",2,1)*INT((E169+9)/12)+30</f>
        <v>17</v>
      </c>
      <c r="E169" s="41" t="n">
        <f aca="false">IF(K169&lt;32,1,INT(9*(IF($A$8="common year",2,1)+K169)/275+0.98))</f>
        <v>6</v>
      </c>
      <c r="F169" s="42" t="n">
        <f aca="false">AM169</f>
        <v>11.3087607749794</v>
      </c>
      <c r="G169" s="60" t="n">
        <f aca="false">F169+1.02/(TAN($A$10*(F169+10.3/(F169+5.11)))*60)</f>
        <v>11.3891804572132</v>
      </c>
      <c r="H169" s="43" t="n">
        <f aca="false">100*(1+COS($A$10*AQ169))/2</f>
        <v>90.5809008148619</v>
      </c>
      <c r="I169" s="43" t="n">
        <f aca="false">IF(AI169&gt;180,AT169-180,AT169+180)</f>
        <v>157.259809848435</v>
      </c>
      <c r="J169" s="61" t="n">
        <f aca="false">$J$2+K168</f>
        <v>2459747.5</v>
      </c>
      <c r="K169" s="21" t="n">
        <v>168</v>
      </c>
      <c r="L169" s="62" t="n">
        <f aca="false">(J169-2451545)/36525</f>
        <v>0.224572210814511</v>
      </c>
      <c r="M169" s="63" t="n">
        <f aca="false">MOD(280.46061837+360.98564736629*(J169-2451545)+0.000387933*L169^2-L169^3/38710000+$B$7,360)</f>
        <v>280.233159927651</v>
      </c>
      <c r="N169" s="30" t="n">
        <f aca="false">0.606433+1336.855225*L169 - INT(0.606433+1336.855225*L169)</f>
        <v>0.826966417180017</v>
      </c>
      <c r="O169" s="35" t="n">
        <f aca="false">22640*SIN(P169)-4586*SIN(P169-2*R169)+2370*SIN(2*R169)+769*SIN(2*P169)-668*SIN(Q169)-412*SIN(2*S169)-212*SIN(2*P169-2*R169)-206*SIN(P169+Q169-2*R169)+192*SIN(P169+2*R169)-165*SIN(Q169-2*R169)-125*SIN(R169)-110*SIN(P169+Q169)+148*SIN(P169-Q169)-55*SIN(2*S169-2*R169)</f>
        <v>13168.4985170475</v>
      </c>
      <c r="P169" s="32" t="n">
        <f aca="false">2*PI()*(0.374897+1325.55241*L169 - INT(0.374897+1325.55241*L169))</f>
        <v>0.358972603003726</v>
      </c>
      <c r="Q169" s="36" t="n">
        <f aca="false">2*PI()*(0.993133+99.997361*L169 - INT(0.993133+99.997361*L169))</f>
        <v>2.82593444255786</v>
      </c>
      <c r="R169" s="36" t="n">
        <f aca="false">2*PI()*(0.827361+1236.853086*L169 - INT(0.827361+1236.853086*L169))</f>
        <v>3.7082918337589</v>
      </c>
      <c r="S169" s="36" t="n">
        <f aca="false">2*PI()*(0.259086+1342.227825*L169 - INT(0.259086+1342.227825*L169))</f>
        <v>4.31124578145137</v>
      </c>
      <c r="T169" s="36" t="n">
        <f aca="false">S169+(O169+412*SIN(2*S169)+541*SIN(Q169))/206264.8062</f>
        <v>4.37733875312789</v>
      </c>
      <c r="U169" s="36" t="n">
        <f aca="false">S169-2*R169</f>
        <v>-3.10533788606642</v>
      </c>
      <c r="V169" s="34" t="n">
        <f aca="false">-526*SIN(U169)+44*SIN(P169+U169)-31*SIN(-P169+U169)-23*SIN(Q169+U169)+11*SIN(-Q169+U169)-25*SIN(-2*P169+S169)+21*SIN(-P169+S169)</f>
        <v>-1.87914921143119</v>
      </c>
      <c r="W169" s="36" t="n">
        <f aca="false">2*PI()*(N169+O169/1296000-INT(N169+O169/1296000))</f>
        <v>5.25982592436378</v>
      </c>
      <c r="X169" s="35" t="n">
        <f aca="false">W169*180/PI()</f>
        <v>301.365826439542</v>
      </c>
      <c r="Y169" s="36" t="n">
        <f aca="false">(18520*SIN(T169)+V169)/206264.8062</f>
        <v>-0.0848038623739398</v>
      </c>
      <c r="Z169" s="36" t="n">
        <f aca="false">Y169*180/PI()</f>
        <v>-4.85890340043503</v>
      </c>
      <c r="AA169" s="36" t="n">
        <f aca="false">COS(Y169)*COS(W169)</f>
        <v>0.51862992755355</v>
      </c>
      <c r="AB169" s="36" t="n">
        <f aca="false">COS(Y169)*SIN(W169)</f>
        <v>-0.850792881263491</v>
      </c>
      <c r="AC169" s="36" t="n">
        <f aca="false">SIN(Y169)</f>
        <v>-0.0847022516652757</v>
      </c>
      <c r="AD169" s="36" t="n">
        <f aca="false">COS($A$10*(23.4393-46.815*L169/3600))*AB169-SIN($A$10*(23.4393-46.815*L169/3600))*AC169</f>
        <v>-0.74691573145808</v>
      </c>
      <c r="AE169" s="36" t="n">
        <f aca="false">SIN($A$10*(23.4393-46.815*L169/3600))*AB169+COS($A$10*(23.4393-46.815*L169/3600))*AC169</f>
        <v>-0.41610081512326</v>
      </c>
      <c r="AF169" s="36" t="n">
        <f aca="false">SQRT(1-AE169*AE169)</f>
        <v>0.909318487469467</v>
      </c>
      <c r="AG169" s="35" t="n">
        <f aca="false">ATAN(AE169/AF169)/$A$10</f>
        <v>-24.5886592018154</v>
      </c>
      <c r="AH169" s="36" t="n">
        <f aca="false">IF(24*ATAN(AD169/(AA169+AF169))/PI()&gt;0,24*ATAN(AD169/(AA169+AF169))/PI(),24*ATAN(AD169/(AA169+AF169))/PI()+24)</f>
        <v>20.3183097173806</v>
      </c>
      <c r="AI169" s="63" t="n">
        <f aca="false">IF(M169-15*AH169&gt;0,M169-15*AH169,360+M169-15*AH169)</f>
        <v>335.458514166942</v>
      </c>
      <c r="AJ169" s="32" t="n">
        <f aca="false">0.950724+0.051818*COS(P169)+0.009531*COS(2*R169-P169)+0.007843*COS(2*R169)+0.002824*COS(2*P169)+0.000857*COS(2*R169+P169)+0.000533*COS(2*R169-Q169)*(1-0.002495*(J169-2415020)/36525)+0.000401*COS(2*R169-Q169-P169)*(1-0.002495*(J169-2415020)/36525)+0.00032*COS(P169-Q169)*(1-0.002495*(J169-2415020)/36525)-0.000271*COS(R169)</f>
        <v>1.01129834693416</v>
      </c>
      <c r="AK169" s="36" t="n">
        <f aca="false">ASIN(COS($A$10*$B$5)*COS($A$10*AG169)*COS($A$10*AI169)+SIN($A$10*$B$5)*SIN($A$10*AG169))/$A$10</f>
        <v>12.2949212884486</v>
      </c>
      <c r="AL169" s="32" t="n">
        <f aca="false">ASIN((0.9983271+0.0016764*COS($A$10*2*$B$5))*COS($A$10*AK169)*SIN($A$10*AJ169))/$A$10</f>
        <v>0.986160513469161</v>
      </c>
      <c r="AM169" s="32" t="n">
        <f aca="false">AK169-AL169</f>
        <v>11.3087607749794</v>
      </c>
      <c r="AN169" s="35" t="n">
        <f aca="false"> MOD(280.4664567 + 360007.6982779*L169/10 + 0.03032028*L169^2/100 + L169^3/49931000,360)</f>
        <v>85.2389432426862</v>
      </c>
      <c r="AO169" s="32" t="n">
        <f aca="false"> AN169 + (1.9146 - 0.004817*L169 - 0.000014*L169^2)*SIN(Q169)+ (0.019993 - 0.000101*L169)*SIN(2*Q169)+ 0.00029*SIN(3*Q169)</f>
        <v>85.8214286277574</v>
      </c>
      <c r="AP169" s="32" t="n">
        <f aca="false">ACOS(COS(W169-$A$10*AO169)*COS(Y169))/$A$10</f>
        <v>144.168415024068</v>
      </c>
      <c r="AQ169" s="34" t="n">
        <f aca="false">180 - AP169 -0.1468*(1-0.0549*SIN(Q169))*SIN($A$10*AP169)/(1-0.0167*SIN($A$10*AO169))</f>
        <v>35.7456814464336</v>
      </c>
      <c r="AR169" s="64" t="n">
        <f aca="false">SIN($A$10*AI169)</f>
        <v>-0.415352004436449</v>
      </c>
      <c r="AS169" s="64" t="n">
        <f aca="false">COS($A$10*AI169)*SIN($A$10*$B$5) - TAN($A$10*AG169)*COS($A$10*$B$5)</f>
        <v>0.990977836236748</v>
      </c>
      <c r="AT169" s="24" t="n">
        <f aca="false">IF(OR(AND(AR169*AS169&gt;0), AND(AR169&lt;0,AS169&gt;0)), MOD(ATAN2(AS169,AR169)/$A$10+360,360),  ATAN2(AS169,AR169)/$A$10)</f>
        <v>337.259809848435</v>
      </c>
      <c r="AU169" s="39" t="n">
        <f aca="false"> 385000.56 + (-20905355*COS(P169) - 3699111*COS(2*R169-P169) - 2955968*COS(2*R169) - 569925*COS(2*P169) + (1-0.002516*L169)*48888*COS(Q169) - 3149*COS(2*S169)  +246158*COS(2*R169-2*P169) -(1 - 0.002516*L169)*152138*COS(2*R169-Q169-P169) -170733*COS(2*R169+P169) -(1 - 0.002516*L169)*204586*COS(2*R169-Q169) -(1 - 0.002516*L169)*129620*COS(Q169-P169)  + 108743*COS(R169) +(1-0.002516*L169)*104755*COS(Q169+P169) +10321*COS(2*R169-2*S169) +79661*COS(P169-2*S169) -34782*COS(4*R169-P169) -23210*COS(3*P169)  -21636*COS(4*R169-2*P169) +(1 - 0.002516*L169)*24208*COS(2*R169+Q169-P169) +(1 - 0.002516*L169)*30824*COS(2*R169+Q169) -8379*COS(R169-P169) -(1 - 0.002516*L169)*16675*COS(R169+Q169)  -(1 - 0.002516*L169)*12831*COS(2*R169-Q169+P169) -10445*COS(2*R169+2*P169) -11650*COS(4*R169) +14403*COS(2*R169-3*P169) -(1-0.002516*L169)*7003*COS(Q169-2*P169)  + (1 - 0.002516*L169)*10056*COS(2*R169-Q169-2*P169) +6322*COS(R169+P169) -(1 - 0.002516*L169)*(1-0.002516*L169)*9884*COS(2*R169-2*Q169) +(1-0.002516*L169)*5751*COS(Q169+2*P169) - (1-0.002516*L169)^2*4950*COS(2*R169-2*Q169-P169)  +4130*COS(2*R169+P169-2*S169) -(1-0.002516*L169)*3958*COS(4*R169-Q169-P169) +3258*COS(3*R169-P169) +(1 - 0.002516*L169)*2616*COS(2*R169+Q169+P169) -(1 - 0.002516*L169)*1897*COS(4*R169-Q169-2*P169)  -(1-0.002516*L169)^2*2117*COS(2*Q169-P169) +(1-0.002516*L169)^2*2354*COS(2*R169+2*Q169-P169) -1423*COS(4*R169+P169) -1117*COS(4*P169) -(1-0.002516*L169)*1571*COS(4*R169-Q169)  -1739*COS(R169-2*P169) -4421*COS(2*P169-2*S169) +(1-0.002516*L169)^2*1165*COS(2*Q169+P169) +8752*COS(2*R169-P169-2*S169))/1000</f>
        <v>361202.936005098</v>
      </c>
      <c r="AV169" s="54" t="n">
        <f aca="false">ATAN(0.99664719*TAN($A$10*input!$E$2))</f>
        <v>0.871010436227447</v>
      </c>
      <c r="AW169" s="54" t="n">
        <f aca="false">COS(AV169)</f>
        <v>0.644053912545845</v>
      </c>
      <c r="AX169" s="54" t="n">
        <f aca="false">0.99664719*SIN(AV169)</f>
        <v>0.762415269897027</v>
      </c>
      <c r="AY169" s="54" t="n">
        <f aca="false">6378.14/AU169</f>
        <v>0.0176580513728437</v>
      </c>
      <c r="AZ169" s="55" t="n">
        <f aca="false">M169-15*AH169</f>
        <v>-24.5414858330577</v>
      </c>
      <c r="BA169" s="56" t="n">
        <f aca="false">COS($A$10*AG169)*SIN($A$10*AZ169)</f>
        <v>-0.377687256441564</v>
      </c>
      <c r="BB169" s="56" t="n">
        <f aca="false">COS($A$10*AG169)*COS($A$10*AZ169)-AW169*AY169</f>
        <v>0.815798616379675</v>
      </c>
      <c r="BC169" s="56" t="n">
        <f aca="false">SIN($A$10*AG169)-AX169*AY169</f>
        <v>-0.429563583126543</v>
      </c>
      <c r="BD169" s="57" t="n">
        <f aca="false">SQRT(BA169^2+BB169^2+BC169^2)</f>
        <v>0.996343273231601</v>
      </c>
      <c r="BE169" s="58" t="n">
        <f aca="false">AU169*BD169</f>
        <v>359882.115560184</v>
      </c>
    </row>
    <row r="170" customFormat="false" ht="15" hidden="false" customHeight="false" outlineLevel="0" collapsed="false">
      <c r="D170" s="41" t="n">
        <f aca="false">K170-INT(275*E170/9)+IF($A$8="common year",2,1)*INT((E170+9)/12)+30</f>
        <v>18</v>
      </c>
      <c r="E170" s="41" t="n">
        <f aca="false">IF(K170&lt;32,1,INT(9*(IF($A$8="common year",2,1)+K170)/275+0.98))</f>
        <v>6</v>
      </c>
      <c r="F170" s="42" t="n">
        <f aca="false">AM170</f>
        <v>10.146079791504</v>
      </c>
      <c r="G170" s="60" t="n">
        <f aca="false">F170+1.02/(TAN($A$10*(F170+10.3/(F170+5.11)))*60)</f>
        <v>10.235017939892</v>
      </c>
      <c r="H170" s="43" t="n">
        <f aca="false">100*(1+COS($A$10*AQ170))/2</f>
        <v>82.5066068477841</v>
      </c>
      <c r="I170" s="43" t="n">
        <f aca="false">IF(AI170&gt;180,AT170-180,AT170+180)</f>
        <v>143.173629034893</v>
      </c>
      <c r="J170" s="61" t="n">
        <f aca="false">$J$2+K169</f>
        <v>2459748.5</v>
      </c>
      <c r="K170" s="21" t="n">
        <v>169</v>
      </c>
      <c r="L170" s="62" t="n">
        <f aca="false">(J170-2451545)/36525</f>
        <v>0.224599589322382</v>
      </c>
      <c r="M170" s="63" t="n">
        <f aca="false">MOD(280.46061837+360.98564736629*(J170-2451545)+0.000387933*L170^2-L170^3/38710000+$B$7,360)</f>
        <v>281.218807299156</v>
      </c>
      <c r="N170" s="30" t="n">
        <f aca="false">0.606433+1336.855225*L170 - INT(0.606433+1336.855225*L170)</f>
        <v>0.863567518480522</v>
      </c>
      <c r="O170" s="35" t="n">
        <f aca="false">22640*SIN(P170)-4586*SIN(P170-2*R170)+2370*SIN(2*R170)+769*SIN(2*P170)-668*SIN(Q170)-412*SIN(2*S170)-212*SIN(2*P170-2*R170)-206*SIN(P170+Q170-2*R170)+192*SIN(P170+2*R170)-165*SIN(Q170-2*R170)-125*SIN(R170)-110*SIN(P170+Q170)+148*SIN(P170-Q170)-55*SIN(2*S170-2*R170)</f>
        <v>18910.7231900175</v>
      </c>
      <c r="P170" s="32" t="n">
        <f aca="false">2*PI()*(0.374897+1325.55241*L170 - INT(0.374897+1325.55241*L170))</f>
        <v>0.586999746779544</v>
      </c>
      <c r="Q170" s="36" t="n">
        <f aca="false">2*PI()*(0.993133+99.997361*L170 - INT(0.993133+99.997361*L170))</f>
        <v>2.84313641242484</v>
      </c>
      <c r="R170" s="36" t="n">
        <f aca="false">2*PI()*(0.827361+1236.853086*L170 - INT(0.827361+1236.853086*L170))</f>
        <v>3.92106054387792</v>
      </c>
      <c r="S170" s="36" t="n">
        <f aca="false">2*PI()*(0.259086+1342.227825*L170 - INT(0.259086+1342.227825*L170))</f>
        <v>4.54214150079238</v>
      </c>
      <c r="T170" s="36" t="n">
        <f aca="false">S170+(O170+412*SIN(2*S170)+541*SIN(Q170))/206264.8062</f>
        <v>4.63526155761834</v>
      </c>
      <c r="U170" s="36" t="n">
        <f aca="false">S170-2*R170</f>
        <v>-3.29997958696346</v>
      </c>
      <c r="V170" s="34" t="n">
        <f aca="false">-526*SIN(U170)+44*SIN(P170+U170)-31*SIN(-P170+U170)-23*SIN(Q170+U170)+11*SIN(-Q170+U170)-25*SIN(-2*P170+S170)+21*SIN(-P170+S170)</f>
        <v>-120.240875019833</v>
      </c>
      <c r="W170" s="36" t="n">
        <f aca="false">2*PI()*(N170+O170/1296000-INT(N170+O170/1296000))</f>
        <v>5.51763651709631</v>
      </c>
      <c r="X170" s="35" t="n">
        <f aca="false">W170*180/PI()</f>
        <v>316.137285316882</v>
      </c>
      <c r="Y170" s="36" t="n">
        <f aca="false">(18520*SIN(T170)+V170)/206264.8062</f>
        <v>-0.0901035136246597</v>
      </c>
      <c r="Z170" s="36" t="n">
        <f aca="false">Y170*180/PI()</f>
        <v>-5.16255104999251</v>
      </c>
      <c r="AA170" s="36" t="n">
        <f aca="false">COS(Y170)*COS(W170)</f>
        <v>0.718077391219159</v>
      </c>
      <c r="AB170" s="36" t="n">
        <f aca="false">COS(Y170)*SIN(W170)</f>
        <v>-0.690121847264713</v>
      </c>
      <c r="AC170" s="36" t="n">
        <f aca="false">SIN(Y170)</f>
        <v>-0.0899816433936833</v>
      </c>
      <c r="AD170" s="36" t="n">
        <f aca="false">COS($A$10*(23.4393-46.815*L170/3600))*AB170-SIN($A$10*(23.4393-46.815*L170/3600))*AC170</f>
        <v>-0.59739991933843</v>
      </c>
      <c r="AE170" s="36" t="n">
        <f aca="false">SIN($A$10*(23.4393-46.815*L170/3600))*AB170+COS($A$10*(23.4393-46.815*L170/3600))*AC170</f>
        <v>-0.35704088924705</v>
      </c>
      <c r="AF170" s="36" t="n">
        <f aca="false">SQRT(1-AE170*AE170)</f>
        <v>0.934088755636035</v>
      </c>
      <c r="AG170" s="35" t="n">
        <f aca="false">ATAN(AE170/AF170)/$A$10</f>
        <v>-20.9185777201011</v>
      </c>
      <c r="AH170" s="36" t="n">
        <f aca="false">IF(24*ATAN(AD170/(AA170+AF170))/PI()&gt;0,24*ATAN(AD170/(AA170+AF170))/PI(),24*ATAN(AD170/(AA170+AF170))/PI()+24)</f>
        <v>21.349430130543</v>
      </c>
      <c r="AI170" s="63" t="n">
        <f aca="false">IF(M170-15*AH170&gt;0,M170-15*AH170,360+M170-15*AH170)</f>
        <v>320.977355341011</v>
      </c>
      <c r="AJ170" s="32" t="n">
        <f aca="false">0.950724+0.051818*COS(P170)+0.009531*COS(2*R170-P170)+0.007843*COS(2*R170)+0.002824*COS(2*P170)+0.000857*COS(2*R170+P170)+0.000533*COS(2*R170-Q170)*(1-0.002495*(J170-2415020)/36525)+0.000401*COS(2*R170-Q170-P170)*(1-0.002495*(J170-2415020)/36525)+0.00032*COS(P170-Q170)*(1-0.002495*(J170-2415020)/36525)-0.000271*COS(R170)</f>
        <v>0.999981613186467</v>
      </c>
      <c r="AK170" s="36" t="n">
        <f aca="false">ASIN(COS($A$10*$B$5)*COS($A$10*AG170)*COS($A$10*AI170)+SIN($A$10*$B$5)*SIN($A$10*AG170))/$A$10</f>
        <v>11.125340073277</v>
      </c>
      <c r="AL170" s="32" t="n">
        <f aca="false">ASIN((0.9983271+0.0016764*COS($A$10*2*$B$5))*COS($A$10*AK170)*SIN($A$10*AJ170))/$A$10</f>
        <v>0.979260281773001</v>
      </c>
      <c r="AM170" s="32" t="n">
        <f aca="false">AK170-AL170</f>
        <v>10.146079791504</v>
      </c>
      <c r="AN170" s="35" t="n">
        <f aca="false"> MOD(280.4664567 + 360007.6982779*L170/10 + 0.03032028*L170^2/100 + L170^3/49931000,360)</f>
        <v>86.2245906065182</v>
      </c>
      <c r="AO170" s="32" t="n">
        <f aca="false"> AN170 + (1.9146 - 0.004817*L170 - 0.000014*L170^2)*SIN(Q170)+ (0.019993 - 0.000101*L170)*SIN(2*Q170)+ 0.00029*SIN(3*Q170)</f>
        <v>86.7762520996149</v>
      </c>
      <c r="AP170" s="32" t="n">
        <f aca="false">ACOS(COS(W170-$A$10*AO170)*COS(Y170))/$A$10</f>
        <v>130.439777153959</v>
      </c>
      <c r="AQ170" s="34" t="n">
        <f aca="false">180 - AP170 -0.1468*(1-0.0549*SIN(Q170))*SIN($A$10*AP170)/(1-0.0167*SIN($A$10*AO170))</f>
        <v>49.4484348258357</v>
      </c>
      <c r="AR170" s="64" t="n">
        <f aca="false">SIN($A$10*AI170)</f>
        <v>-0.62962748851593</v>
      </c>
      <c r="AS170" s="64" t="n">
        <f aca="false">COS($A$10*AI170)*SIN($A$10*$B$5) - TAN($A$10*AG170)*COS($A$10*$B$5)</f>
        <v>0.840833326181908</v>
      </c>
      <c r="AT170" s="24" t="n">
        <f aca="false">IF(OR(AND(AR170*AS170&gt;0), AND(AR170&lt;0,AS170&gt;0)), MOD(ATAN2(AS170,AR170)/$A$10+360,360),  ATAN2(AS170,AR170)/$A$10)</f>
        <v>323.173629034893</v>
      </c>
      <c r="AU170" s="39" t="n">
        <f aca="false"> 385000.56 + (-20905355*COS(P170) - 3699111*COS(2*R170-P170) - 2955968*COS(2*R170) - 569925*COS(2*P170) + (1-0.002516*L170)*48888*COS(Q170) - 3149*COS(2*S170)  +246158*COS(2*R170-2*P170) -(1 - 0.002516*L170)*152138*COS(2*R170-Q170-P170) -170733*COS(2*R170+P170) -(1 - 0.002516*L170)*204586*COS(2*R170-Q170) -(1 - 0.002516*L170)*129620*COS(Q170-P170)  + 108743*COS(R170) +(1-0.002516*L170)*104755*COS(Q170+P170) +10321*COS(2*R170-2*S170) +79661*COS(P170-2*S170) -34782*COS(4*R170-P170) -23210*COS(3*P170)  -21636*COS(4*R170-2*P170) +(1 - 0.002516*L170)*24208*COS(2*R170+Q170-P170) +(1 - 0.002516*L170)*30824*COS(2*R170+Q170) -8379*COS(R170-P170) -(1 - 0.002516*L170)*16675*COS(R170+Q170)  -(1 - 0.002516*L170)*12831*COS(2*R170-Q170+P170) -10445*COS(2*R170+2*P170) -11650*COS(4*R170) +14403*COS(2*R170-3*P170) -(1-0.002516*L170)*7003*COS(Q170-2*P170)  + (1 - 0.002516*L170)*10056*COS(2*R170-Q170-2*P170) +6322*COS(R170+P170) -(1 - 0.002516*L170)*(1-0.002516*L170)*9884*COS(2*R170-2*Q170) +(1-0.002516*L170)*5751*COS(Q170+2*P170) - (1-0.002516*L170)^2*4950*COS(2*R170-2*Q170-P170)  +4130*COS(2*R170+P170-2*S170) -(1-0.002516*L170)*3958*COS(4*R170-Q170-P170) +3258*COS(3*R170-P170) +(1 - 0.002516*L170)*2616*COS(2*R170+Q170+P170) -(1 - 0.002516*L170)*1897*COS(4*R170-Q170-2*P170)  -(1-0.002516*L170)^2*2117*COS(2*Q170-P170) +(1-0.002516*L170)^2*2354*COS(2*R170+2*Q170-P170) -1423*COS(4*R170+P170) -1117*COS(4*P170) -(1-0.002516*L170)*1571*COS(4*R170-Q170)  -1739*COS(R170-2*P170) -4421*COS(2*P170-2*S170) +(1-0.002516*L170)^2*1165*COS(2*Q170+P170) +8752*COS(2*R170-P170-2*S170))/1000</f>
        <v>365405.483799588</v>
      </c>
      <c r="AV170" s="54" t="n">
        <f aca="false">ATAN(0.99664719*TAN($A$10*input!$E$2))</f>
        <v>0.871010436227447</v>
      </c>
      <c r="AW170" s="54" t="n">
        <f aca="false">COS(AV170)</f>
        <v>0.644053912545845</v>
      </c>
      <c r="AX170" s="54" t="n">
        <f aca="false">0.99664719*SIN(AV170)</f>
        <v>0.762415269897027</v>
      </c>
      <c r="AY170" s="54" t="n">
        <f aca="false">6378.14/AU170</f>
        <v>0.0174549651901179</v>
      </c>
      <c r="AZ170" s="55" t="n">
        <f aca="false">M170-15*AH170</f>
        <v>-39.0226446589888</v>
      </c>
      <c r="BA170" s="56" t="n">
        <f aca="false">COS($A$10*AG170)*SIN($A$10*AZ170)</f>
        <v>-0.588127957262087</v>
      </c>
      <c r="BB170" s="56" t="n">
        <f aca="false">COS($A$10*AG170)*COS($A$10*AZ170)-AW170*AY170</f>
        <v>0.714448979944182</v>
      </c>
      <c r="BC170" s="56" t="n">
        <f aca="false">SIN($A$10*AG170)-AX170*AY170</f>
        <v>-0.370348821243517</v>
      </c>
      <c r="BD170" s="57" t="n">
        <f aca="false">SQRT(BA170^2+BB170^2+BC170^2)</f>
        <v>0.99673972954479</v>
      </c>
      <c r="BE170" s="58" t="n">
        <f aca="false">AU170*BD170</f>
        <v>364214.163096584</v>
      </c>
    </row>
    <row r="171" customFormat="false" ht="15" hidden="false" customHeight="false" outlineLevel="0" collapsed="false">
      <c r="D171" s="41" t="n">
        <f aca="false">K171-INT(275*E171/9)+IF($A$8="common year",2,1)*INT((E171+9)/12)+30</f>
        <v>19</v>
      </c>
      <c r="E171" s="41" t="n">
        <f aca="false">IF(K171&lt;32,1,INT(9*(IF($A$8="common year",2,1)+K171)/275+0.98))</f>
        <v>6</v>
      </c>
      <c r="F171" s="42" t="n">
        <f aca="false">AM171</f>
        <v>8.57205019625644</v>
      </c>
      <c r="G171" s="60" t="n">
        <f aca="false">F171+1.02/(TAN($A$10*(F171+10.3/(F171+5.11)))*60)</f>
        <v>8.67558130117276</v>
      </c>
      <c r="H171" s="43" t="n">
        <f aca="false">100*(1+COS($A$10*AQ171))/2</f>
        <v>72.8670616687292</v>
      </c>
      <c r="I171" s="43" t="n">
        <f aca="false">IF(AI171&gt;180,AT171-180,AT171+180)</f>
        <v>129.58768937904</v>
      </c>
      <c r="J171" s="61" t="n">
        <f aca="false">$J$2+K170</f>
        <v>2459749.5</v>
      </c>
      <c r="K171" s="21" t="n">
        <v>170</v>
      </c>
      <c r="L171" s="62" t="n">
        <f aca="false">(J171-2451545)/36525</f>
        <v>0.224626967830253</v>
      </c>
      <c r="M171" s="63" t="n">
        <f aca="false">MOD(280.46061837+360.98564736629*(J171-2451545)+0.000387933*L171^2-L171^3/38710000+$B$7,360)</f>
        <v>282.204454670195</v>
      </c>
      <c r="N171" s="30" t="n">
        <f aca="false">0.606433+1336.855225*L171 - INT(0.606433+1336.855225*L171)</f>
        <v>0.900168619780914</v>
      </c>
      <c r="O171" s="35" t="n">
        <f aca="false">22640*SIN(P171)-4586*SIN(P171-2*R171)+2370*SIN(2*R171)+769*SIN(2*P171)-668*SIN(Q171)-412*SIN(2*S171)-212*SIN(2*P171-2*R171)-206*SIN(P171+Q171-2*R171)+192*SIN(P171+2*R171)-165*SIN(Q171-2*R171)-125*SIN(R171)-110*SIN(P171+Q171)+148*SIN(P171-Q171)-55*SIN(2*S171-2*R171)</f>
        <v>23282.9137116977</v>
      </c>
      <c r="P171" s="32" t="n">
        <f aca="false">2*PI()*(0.374897+1325.55241*L171 - INT(0.374897+1325.55241*L171))</f>
        <v>0.815026890555004</v>
      </c>
      <c r="Q171" s="36" t="n">
        <f aca="false">2*PI()*(0.993133+99.997361*L171 - INT(0.993133+99.997361*L171))</f>
        <v>2.86033838229183</v>
      </c>
      <c r="R171" s="36" t="n">
        <f aca="false">2*PI()*(0.827361+1236.853086*L171 - INT(0.827361+1236.853086*L171))</f>
        <v>4.13382925399659</v>
      </c>
      <c r="S171" s="36" t="n">
        <f aca="false">2*PI()*(0.259086+1342.227825*L171 - INT(0.259086+1342.227825*L171))</f>
        <v>4.77303722013303</v>
      </c>
      <c r="T171" s="36" t="n">
        <f aca="false">S171+(O171+412*SIN(2*S171)+541*SIN(Q171))/206264.8062</f>
        <v>4.8864022816237</v>
      </c>
      <c r="U171" s="36" t="n">
        <f aca="false">S171-2*R171</f>
        <v>-3.49462128786015</v>
      </c>
      <c r="V171" s="34" t="n">
        <f aca="false">-526*SIN(U171)+44*SIN(P171+U171)-31*SIN(-P171+U171)-23*SIN(Q171+U171)+11*SIN(-Q171+U171)-25*SIN(-2*P171+S171)+21*SIN(-P171+S171)</f>
        <v>-232.418964970072</v>
      </c>
      <c r="W171" s="36" t="n">
        <f aca="false">2*PI()*(N171+O171/1296000-INT(N171+O171/1296000))</f>
        <v>5.7688049968268</v>
      </c>
      <c r="X171" s="35" t="n">
        <f aca="false">W171*180/PI()</f>
        <v>330.528179152156</v>
      </c>
      <c r="Y171" s="36" t="n">
        <f aca="false">(18520*SIN(T171)+V171)/206264.8062</f>
        <v>-0.0895583086653704</v>
      </c>
      <c r="Z171" s="36" t="n">
        <f aca="false">Y171*180/PI()</f>
        <v>-5.13131310685563</v>
      </c>
      <c r="AA171" s="36" t="n">
        <f aca="false">COS(Y171)*COS(W171)</f>
        <v>0.867108709204091</v>
      </c>
      <c r="AB171" s="36" t="n">
        <f aca="false">COS(Y171)*SIN(W171)</f>
        <v>-0.490023689915241</v>
      </c>
      <c r="AC171" s="36" t="n">
        <f aca="false">SIN(Y171)</f>
        <v>-0.0894386367531841</v>
      </c>
      <c r="AD171" s="36" t="n">
        <f aca="false">COS($A$10*(23.4393-46.815*L171/3600))*AB171-SIN($A$10*(23.4393-46.815*L171/3600))*AC171</f>
        <v>-0.414025376504408</v>
      </c>
      <c r="AE171" s="36" t="n">
        <f aca="false">SIN($A$10*(23.4393-46.815*L171/3600))*AB171+COS($A$10*(23.4393-46.815*L171/3600))*AC171</f>
        <v>-0.276957531099624</v>
      </c>
      <c r="AF171" s="36" t="n">
        <f aca="false">SQRT(1-AE171*AE171)</f>
        <v>0.960882160291886</v>
      </c>
      <c r="AG171" s="35" t="n">
        <f aca="false">ATAN(AE171/AF171)/$A$10</f>
        <v>-16.0787042653159</v>
      </c>
      <c r="AH171" s="36" t="n">
        <f aca="false">IF(24*ATAN(AD171/(AA171+AF171))/PI()&gt;0,24*ATAN(AD171/(AA171+AF171))/PI(),24*ATAN(AD171/(AA171+AF171))/PI()+24)</f>
        <v>22.2984365825181</v>
      </c>
      <c r="AI171" s="63" t="n">
        <f aca="false">IF(M171-15*AH171&gt;0,M171-15*AH171,360+M171-15*AH171)</f>
        <v>307.727905932423</v>
      </c>
      <c r="AJ171" s="32" t="n">
        <f aca="false">0.950724+0.051818*COS(P171)+0.009531*COS(2*R171-P171)+0.007843*COS(2*R171)+0.002824*COS(2*P171)+0.000857*COS(2*R171+P171)+0.000533*COS(2*R171-Q171)*(1-0.002495*(J171-2415020)/36525)+0.000401*COS(2*R171-Q171-P171)*(1-0.002495*(J171-2415020)/36525)+0.00032*COS(P171-Q171)*(1-0.002495*(J171-2415020)/36525)-0.000271*COS(R171)</f>
        <v>0.98615418579329</v>
      </c>
      <c r="AK171" s="36" t="n">
        <f aca="false">ASIN(COS($A$10*$B$5)*COS($A$10*AG171)*COS($A$10*AI171)+SIN($A$10*$B$5)*SIN($A$10*AG171))/$A$10</f>
        <v>9.54264694229283</v>
      </c>
      <c r="AL171" s="32" t="n">
        <f aca="false">ASIN((0.9983271+0.0016764*COS($A$10*2*$B$5))*COS($A$10*AK171)*SIN($A$10*AJ171))/$A$10</f>
        <v>0.970596746036383</v>
      </c>
      <c r="AM171" s="32" t="n">
        <f aca="false">AK171-AL171</f>
        <v>8.57205019625644</v>
      </c>
      <c r="AN171" s="35" t="n">
        <f aca="false"> MOD(280.4664567 + 360007.6982779*L171/10 + 0.03032028*L171^2/100 + L171^3/49931000,360)</f>
        <v>87.2102379703501</v>
      </c>
      <c r="AO171" s="32" t="n">
        <f aca="false"> AN171 + (1.9146 - 0.004817*L171 - 0.000014*L171^2)*SIN(Q171)+ (0.019993 - 0.000101*L171)*SIN(2*Q171)+ 0.00029*SIN(3*Q171)</f>
        <v>87.7309217667121</v>
      </c>
      <c r="AP171" s="32" t="n">
        <f aca="false">ACOS(COS(W171-$A$10*AO171)*COS(Y171))/$A$10</f>
        <v>117.084781206154</v>
      </c>
      <c r="AQ171" s="34" t="n">
        <f aca="false">180 - AP171 -0.1468*(1-0.0549*SIN(Q171))*SIN($A$10*AP171)/(1-0.0167*SIN($A$10*AO171))</f>
        <v>62.7843252207882</v>
      </c>
      <c r="AR171" s="64" t="n">
        <f aca="false">SIN($A$10*AI171)</f>
        <v>-0.790925594642473</v>
      </c>
      <c r="AS171" s="64" t="n">
        <f aca="false">COS($A$10*AI171)*SIN($A$10*$B$5) - TAN($A$10*AG171)*COS($A$10*$B$5)</f>
        <v>0.654024365070394</v>
      </c>
      <c r="AT171" s="24" t="n">
        <f aca="false">IF(OR(AND(AR171*AS171&gt;0), AND(AR171&lt;0,AS171&gt;0)), MOD(ATAN2(AS171,AR171)/$A$10+360,360),  ATAN2(AS171,AR171)/$A$10)</f>
        <v>309.58768937904</v>
      </c>
      <c r="AU171" s="39" t="n">
        <f aca="false"> 385000.56 + (-20905355*COS(P171) - 3699111*COS(2*R171-P171) - 2955968*COS(2*R171) - 569925*COS(2*P171) + (1-0.002516*L171)*48888*COS(Q171) - 3149*COS(2*S171)  +246158*COS(2*R171-2*P171) -(1 - 0.002516*L171)*152138*COS(2*R171-Q171-P171) -170733*COS(2*R171+P171) -(1 - 0.002516*L171)*204586*COS(2*R171-Q171) -(1 - 0.002516*L171)*129620*COS(Q171-P171)  + 108743*COS(R171) +(1-0.002516*L171)*104755*COS(Q171+P171) +10321*COS(2*R171-2*S171) +79661*COS(P171-2*S171) -34782*COS(4*R171-P171) -23210*COS(3*P171)  -21636*COS(4*R171-2*P171) +(1 - 0.002516*L171)*24208*COS(2*R171+Q171-P171) +(1 - 0.002516*L171)*30824*COS(2*R171+Q171) -8379*COS(R171-P171) -(1 - 0.002516*L171)*16675*COS(R171+Q171)  -(1 - 0.002516*L171)*12831*COS(2*R171-Q171+P171) -10445*COS(2*R171+2*P171) -11650*COS(4*R171) +14403*COS(2*R171-3*P171) -(1-0.002516*L171)*7003*COS(Q171-2*P171)  + (1 - 0.002516*L171)*10056*COS(2*R171-Q171-2*P171) +6322*COS(R171+P171) -(1 - 0.002516*L171)*(1-0.002516*L171)*9884*COS(2*R171-2*Q171) +(1-0.002516*L171)*5751*COS(Q171+2*P171) - (1-0.002516*L171)^2*4950*COS(2*R171-2*Q171-P171)  +4130*COS(2*R171+P171-2*S171) -(1-0.002516*L171)*3958*COS(4*R171-Q171-P171) +3258*COS(3*R171-P171) +(1 - 0.002516*L171)*2616*COS(2*R171+Q171+P171) -(1 - 0.002516*L171)*1897*COS(4*R171-Q171-2*P171)  -(1-0.002516*L171)^2*2117*COS(2*Q171-P171) +(1-0.002516*L171)^2*2354*COS(2*R171+2*Q171-P171) -1423*COS(4*R171+P171) -1117*COS(4*P171) -(1-0.002516*L171)*1571*COS(4*R171-Q171)  -1739*COS(R171-2*P171) -4421*COS(2*P171-2*S171) +(1-0.002516*L171)^2*1165*COS(2*Q171+P171) +8752*COS(2*R171-P171-2*S171))/1000</f>
        <v>370596.582290645</v>
      </c>
      <c r="AV171" s="54" t="n">
        <f aca="false">ATAN(0.99664719*TAN($A$10*input!$E$2))</f>
        <v>0.871010436227447</v>
      </c>
      <c r="AW171" s="54" t="n">
        <f aca="false">COS(AV171)</f>
        <v>0.644053912545845</v>
      </c>
      <c r="AX171" s="54" t="n">
        <f aca="false">0.99664719*SIN(AV171)</f>
        <v>0.762415269897027</v>
      </c>
      <c r="AY171" s="54" t="n">
        <f aca="false">6378.14/AU171</f>
        <v>0.0172104663258817</v>
      </c>
      <c r="AZ171" s="55" t="n">
        <f aca="false">M171-15*AH171</f>
        <v>-52.272094067577</v>
      </c>
      <c r="BA171" s="56" t="n">
        <f aca="false">COS($A$10*AG171)*SIN($A$10*AZ171)</f>
        <v>-0.759986294010205</v>
      </c>
      <c r="BB171" s="56" t="n">
        <f aca="false">COS($A$10*AG171)*COS($A$10*AZ171)-AW171*AY171</f>
        <v>0.576891176631061</v>
      </c>
      <c r="BC171" s="56" t="n">
        <f aca="false">SIN($A$10*AG171)-AX171*AY171</f>
        <v>-0.290079053428525</v>
      </c>
      <c r="BD171" s="57" t="n">
        <f aca="false">SQRT(BA171^2+BB171^2+BC171^2)</f>
        <v>0.997260474498074</v>
      </c>
      <c r="BE171" s="58" t="n">
        <f aca="false">AU171*BD171</f>
        <v>369581.323502534</v>
      </c>
    </row>
    <row r="172" customFormat="false" ht="15" hidden="false" customHeight="false" outlineLevel="0" collapsed="false">
      <c r="D172" s="41" t="n">
        <f aca="false">K172-INT(275*E172/9)+IF($A$8="common year",2,1)*INT((E172+9)/12)+30</f>
        <v>20</v>
      </c>
      <c r="E172" s="41" t="n">
        <f aca="false">IF(K172&lt;32,1,INT(9*(IF($A$8="common year",2,1)+K172)/275+0.98))</f>
        <v>6</v>
      </c>
      <c r="F172" s="42" t="n">
        <f aca="false">AM172</f>
        <v>6.68978912657161</v>
      </c>
      <c r="G172" s="60" t="n">
        <f aca="false">F172+1.02/(TAN($A$10*(F172+10.3/(F172+5.11)))*60)</f>
        <v>6.81783424677366</v>
      </c>
      <c r="H172" s="43" t="n">
        <f aca="false">100*(1+COS($A$10*AQ172))/2</f>
        <v>62.3459009680008</v>
      </c>
      <c r="I172" s="43" t="n">
        <f aca="false">IF(AI172&gt;180,AT172-180,AT172+180)</f>
        <v>116.545726444621</v>
      </c>
      <c r="J172" s="61" t="n">
        <f aca="false">$J$2+K171</f>
        <v>2459750.5</v>
      </c>
      <c r="K172" s="21" t="n">
        <v>171</v>
      </c>
      <c r="L172" s="62" t="n">
        <f aca="false">(J172-2451545)/36525</f>
        <v>0.224654346338125</v>
      </c>
      <c r="M172" s="63" t="n">
        <f aca="false">MOD(280.46061837+360.98564736629*(J172-2451545)+0.000387933*L172^2-L172^3/38710000+$B$7,360)</f>
        <v>283.190102040768</v>
      </c>
      <c r="N172" s="30" t="n">
        <f aca="false">0.606433+1336.855225*L172 - INT(0.606433+1336.855225*L172)</f>
        <v>0.936769721081419</v>
      </c>
      <c r="O172" s="35" t="n">
        <f aca="false">22640*SIN(P172)-4586*SIN(P172-2*R172)+2370*SIN(2*R172)+769*SIN(2*P172)-668*SIN(Q172)-412*SIN(2*S172)-212*SIN(2*P172-2*R172)-206*SIN(P172+Q172-2*R172)+192*SIN(P172+2*R172)-165*SIN(Q172-2*R172)-125*SIN(R172)-110*SIN(P172+Q172)+148*SIN(P172-Q172)-55*SIN(2*S172-2*R172)</f>
        <v>26082.2767073966</v>
      </c>
      <c r="P172" s="32" t="n">
        <f aca="false">2*PI()*(0.374897+1325.55241*L172 - INT(0.374897+1325.55241*L172))</f>
        <v>1.04305403433046</v>
      </c>
      <c r="Q172" s="36" t="n">
        <f aca="false">2*PI()*(0.993133+99.997361*L172 - INT(0.993133+99.997361*L172))</f>
        <v>2.87754035215881</v>
      </c>
      <c r="R172" s="36" t="n">
        <f aca="false">2*PI()*(0.827361+1236.853086*L172 - INT(0.827361+1236.853086*L172))</f>
        <v>4.34659796411561</v>
      </c>
      <c r="S172" s="36" t="n">
        <f aca="false">2*PI()*(0.259086+1342.227825*L172 - INT(0.259086+1342.227825*L172))</f>
        <v>5.00393293947403</v>
      </c>
      <c r="T172" s="36" t="n">
        <f aca="false">S172+(O172+412*SIN(2*S172)+541*SIN(Q172))/206264.8062</f>
        <v>5.12996813800804</v>
      </c>
      <c r="U172" s="36" t="n">
        <f aca="false">S172-2*R172</f>
        <v>-3.68926298875719</v>
      </c>
      <c r="V172" s="34" t="n">
        <f aca="false">-526*SIN(U172)+44*SIN(P172+U172)-31*SIN(-P172+U172)-23*SIN(Q172+U172)+11*SIN(-Q172+U172)-25*SIN(-2*P172+S172)+21*SIN(-P172+S172)</f>
        <v>-333.081843448703</v>
      </c>
      <c r="W172" s="36" t="n">
        <f aca="false">2*PI()*(N172+O172/1296000-INT(N172+O172/1296000))</f>
        <v>6.01234819353179</v>
      </c>
      <c r="X172" s="35" t="n">
        <f aca="false">W172*180/PI()</f>
        <v>344.482176452476</v>
      </c>
      <c r="Y172" s="36" t="n">
        <f aca="false">(18520*SIN(T172)+V172)/206264.8062</f>
        <v>-0.0836871849306905</v>
      </c>
      <c r="Z172" s="36" t="n">
        <f aca="false">Y172*180/PI()</f>
        <v>-4.79492249585939</v>
      </c>
      <c r="AA172" s="36" t="n">
        <f aca="false">COS(Y172)*COS(W172)</f>
        <v>0.96017511964662</v>
      </c>
      <c r="AB172" s="36" t="n">
        <f aca="false">COS(Y172)*SIN(W172)</f>
        <v>-0.266601817905439</v>
      </c>
      <c r="AC172" s="36" t="n">
        <f aca="false">SIN(Y172)</f>
        <v>-0.0835895346387027</v>
      </c>
      <c r="AD172" s="36" t="n">
        <f aca="false">COS($A$10*(23.4393-46.815*L172/3600))*AB172-SIN($A$10*(23.4393-46.815*L172/3600))*AC172</f>
        <v>-0.211361667357954</v>
      </c>
      <c r="AE172" s="36" t="n">
        <f aca="false">SIN($A$10*(23.4393-46.815*L172/3600))*AB172+COS($A$10*(23.4393-46.815*L172/3600))*AC172</f>
        <v>-0.182729267451236</v>
      </c>
      <c r="AF172" s="36" t="n">
        <f aca="false">SQRT(1-AE172*AE172)</f>
        <v>0.983163269664167</v>
      </c>
      <c r="AG172" s="35" t="n">
        <f aca="false">ATAN(AE172/AF172)/$A$10</f>
        <v>-10.5287724454111</v>
      </c>
      <c r="AH172" s="36" t="n">
        <f aca="false">IF(24*ATAN(AD172/(AA172+AF172))/PI()&gt;0,24*ATAN(AD172/(AA172+AF172))/PI(),24*ATAN(AD172/(AA172+AF172))/PI()+24)</f>
        <v>23.1723715194501</v>
      </c>
      <c r="AI172" s="63" t="n">
        <f aca="false">IF(M172-15*AH172&gt;0,M172-15*AH172,360+M172-15*AH172)</f>
        <v>295.604529249016</v>
      </c>
      <c r="AJ172" s="32" t="n">
        <f aca="false">0.950724+0.051818*COS(P172)+0.009531*COS(2*R172-P172)+0.007843*COS(2*R172)+0.002824*COS(2*P172)+0.000857*COS(2*R172+P172)+0.000533*COS(2*R172-Q172)*(1-0.002495*(J172-2415020)/36525)+0.000401*COS(2*R172-Q172-P172)*(1-0.002495*(J172-2415020)/36525)+0.00032*COS(P172-Q172)*(1-0.002495*(J172-2415020)/36525)-0.000271*COS(R172)</f>
        <v>0.971216706791852</v>
      </c>
      <c r="AK172" s="36" t="n">
        <f aca="false">ASIN(COS($A$10*$B$5)*COS($A$10*AG172)*COS($A$10*AI172)+SIN($A$10*$B$5)*SIN($A$10*AG172))/$A$10</f>
        <v>7.65046921341777</v>
      </c>
      <c r="AL172" s="32" t="n">
        <f aca="false">ASIN((0.9983271+0.0016764*COS($A$10*2*$B$5))*COS($A$10*AK172)*SIN($A$10*AJ172))/$A$10</f>
        <v>0.960680086846161</v>
      </c>
      <c r="AM172" s="32" t="n">
        <f aca="false">AK172-AL172</f>
        <v>6.68978912657161</v>
      </c>
      <c r="AN172" s="35" t="n">
        <f aca="false"> MOD(280.4664567 + 360007.6982779*L172/10 + 0.03032028*L172^2/100 + L172^3/49931000,360)</f>
        <v>88.1958853341821</v>
      </c>
      <c r="AO172" s="32" t="n">
        <f aca="false"> AN172 + (1.9146 - 0.004817*L172 - 0.000014*L172^2)*SIN(Q172)+ (0.019993 - 0.000101*L172)*SIN(2*Q172)+ 0.00029*SIN(3*Q172)</f>
        <v>88.6854463080482</v>
      </c>
      <c r="AP172" s="32" t="n">
        <f aca="false">ACOS(COS(W172-$A$10*AO172)*COS(Y172))/$A$10</f>
        <v>104.152524072423</v>
      </c>
      <c r="AQ172" s="34" t="n">
        <f aca="false">180 - AP172 -0.1468*(1-0.0549*SIN(Q172))*SIN($A$10*AP172)/(1-0.0167*SIN($A$10*AO172))</f>
        <v>75.7047889092767</v>
      </c>
      <c r="AR172" s="64" t="n">
        <f aca="false">SIN($A$10*AI172)</f>
        <v>-0.90179836707588</v>
      </c>
      <c r="AS172" s="64" t="n">
        <f aca="false">COS($A$10*AI172)*SIN($A$10*$B$5) - TAN($A$10*AG172)*COS($A$10*$B$5)</f>
        <v>0.450519049202897</v>
      </c>
      <c r="AT172" s="24" t="n">
        <f aca="false">IF(OR(AND(AR172*AS172&gt;0), AND(AR172&lt;0,AS172&gt;0)), MOD(ATAN2(AS172,AR172)/$A$10+360,360),  ATAN2(AS172,AR172)/$A$10)</f>
        <v>296.545726444621</v>
      </c>
      <c r="AU172" s="39" t="n">
        <f aca="false"> 385000.56 + (-20905355*COS(P172) - 3699111*COS(2*R172-P172) - 2955968*COS(2*R172) - 569925*COS(2*P172) + (1-0.002516*L172)*48888*COS(Q172) - 3149*COS(2*S172)  +246158*COS(2*R172-2*P172) -(1 - 0.002516*L172)*152138*COS(2*R172-Q172-P172) -170733*COS(2*R172+P172) -(1 - 0.002516*L172)*204586*COS(2*R172-Q172) -(1 - 0.002516*L172)*129620*COS(Q172-P172)  + 108743*COS(R172) +(1-0.002516*L172)*104755*COS(Q172+P172) +10321*COS(2*R172-2*S172) +79661*COS(P172-2*S172) -34782*COS(4*R172-P172) -23210*COS(3*P172)  -21636*COS(4*R172-2*P172) +(1 - 0.002516*L172)*24208*COS(2*R172+Q172-P172) +(1 - 0.002516*L172)*30824*COS(2*R172+Q172) -8379*COS(R172-P172) -(1 - 0.002516*L172)*16675*COS(R172+Q172)  -(1 - 0.002516*L172)*12831*COS(2*R172-Q172+P172) -10445*COS(2*R172+2*P172) -11650*COS(4*R172) +14403*COS(2*R172-3*P172) -(1-0.002516*L172)*7003*COS(Q172-2*P172)  + (1 - 0.002516*L172)*10056*COS(2*R172-Q172-2*P172) +6322*COS(R172+P172) -(1 - 0.002516*L172)*(1-0.002516*L172)*9884*COS(2*R172-2*Q172) +(1-0.002516*L172)*5751*COS(Q172+2*P172) - (1-0.002516*L172)^2*4950*COS(2*R172-2*Q172-P172)  +4130*COS(2*R172+P172-2*S172) -(1-0.002516*L172)*3958*COS(4*R172-Q172-P172) +3258*COS(3*R172-P172) +(1 - 0.002516*L172)*2616*COS(2*R172+Q172+P172) -(1 - 0.002516*L172)*1897*COS(4*R172-Q172-2*P172)  -(1-0.002516*L172)^2*2117*COS(2*Q172-P172) +(1-0.002516*L172)^2*2354*COS(2*R172+2*Q172-P172) -1423*COS(4*R172+P172) -1117*COS(4*P172) -(1-0.002516*L172)*1571*COS(4*R172-Q172)  -1739*COS(R172-2*P172) -4421*COS(2*P172-2*S172) +(1-0.002516*L172)^2*1165*COS(2*Q172+P172) +8752*COS(2*R172-P172-2*S172))/1000</f>
        <v>376298.274668427</v>
      </c>
      <c r="AV172" s="54" t="n">
        <f aca="false">ATAN(0.99664719*TAN($A$10*input!$E$2))</f>
        <v>0.871010436227447</v>
      </c>
      <c r="AW172" s="54" t="n">
        <f aca="false">COS(AV172)</f>
        <v>0.644053912545845</v>
      </c>
      <c r="AX172" s="54" t="n">
        <f aca="false">0.99664719*SIN(AV172)</f>
        <v>0.762415269897027</v>
      </c>
      <c r="AY172" s="54" t="n">
        <f aca="false">6378.14/AU172</f>
        <v>0.0169496923833097</v>
      </c>
      <c r="AZ172" s="55" t="n">
        <f aca="false">M172-15*AH172</f>
        <v>-64.3954707509836</v>
      </c>
      <c r="BA172" s="56" t="n">
        <f aca="false">COS($A$10*AG172)*SIN($A$10*AZ172)</f>
        <v>-0.886615031152128</v>
      </c>
      <c r="BB172" s="56" t="n">
        <f aca="false">COS($A$10*AG172)*COS($A$10*AZ172)-AW172*AY172</f>
        <v>0.413964410390255</v>
      </c>
      <c r="BC172" s="56" t="n">
        <f aca="false">SIN($A$10*AG172)-AX172*AY172</f>
        <v>-0.195651971744329</v>
      </c>
      <c r="BD172" s="57" t="n">
        <f aca="false">SQRT(BA172^2+BB172^2+BC172^2)</f>
        <v>0.997863938912558</v>
      </c>
      <c r="BE172" s="58" t="n">
        <f aca="false">AU172*BD172</f>
        <v>375494.478566636</v>
      </c>
    </row>
    <row r="173" customFormat="false" ht="15" hidden="false" customHeight="false" outlineLevel="0" collapsed="false">
      <c r="D173" s="41" t="n">
        <f aca="false">K173-INT(275*E173/9)+IF($A$8="common year",2,1)*INT((E173+9)/12)+30</f>
        <v>21</v>
      </c>
      <c r="E173" s="41" t="n">
        <f aca="false">IF(K173&lt;32,1,INT(9*(IF($A$8="common year",2,1)+K173)/275+0.98))</f>
        <v>6</v>
      </c>
      <c r="F173" s="42" t="n">
        <f aca="false">AM173</f>
        <v>4.59418739528096</v>
      </c>
      <c r="G173" s="60" t="n">
        <f aca="false">F173+1.02/(TAN($A$10*(F173+10.3/(F173+5.11)))*60)</f>
        <v>4.76585182499221</v>
      </c>
      <c r="H173" s="43" t="n">
        <f aca="false">100*(1+COS($A$10*AQ173))/2</f>
        <v>51.5660667833362</v>
      </c>
      <c r="I173" s="43" t="n">
        <f aca="false">IF(AI173&gt;180,AT173-180,AT173+180)</f>
        <v>104.033778942726</v>
      </c>
      <c r="J173" s="61" t="n">
        <f aca="false">$J$2+K172</f>
        <v>2459751.5</v>
      </c>
      <c r="K173" s="21" t="n">
        <v>172</v>
      </c>
      <c r="L173" s="62" t="n">
        <f aca="false">(J173-2451545)/36525</f>
        <v>0.224681724845996</v>
      </c>
      <c r="M173" s="63" t="n">
        <f aca="false">MOD(280.46061837+360.98564736629*(J173-2451545)+0.000387933*L173^2-L173^3/38710000+$B$7,360)</f>
        <v>284.175749411806</v>
      </c>
      <c r="N173" s="30" t="n">
        <f aca="false">0.606433+1336.855225*L173 - INT(0.606433+1336.855225*L173)</f>
        <v>0.973370822381924</v>
      </c>
      <c r="O173" s="35" t="n">
        <f aca="false">22640*SIN(P173)-4586*SIN(P173-2*R173)+2370*SIN(2*R173)+769*SIN(2*P173)-668*SIN(Q173)-412*SIN(2*S173)-212*SIN(2*P173-2*R173)-206*SIN(P173+Q173-2*R173)+192*SIN(P173+2*R173)-165*SIN(Q173-2*R173)-125*SIN(R173)-110*SIN(P173+Q173)+148*SIN(P173-Q173)-55*SIN(2*S173-2*R173)</f>
        <v>27267.3183418553</v>
      </c>
      <c r="P173" s="32" t="n">
        <f aca="false">2*PI()*(0.374897+1325.55241*L173 - INT(0.374897+1325.55241*L173))</f>
        <v>1.27108117810628</v>
      </c>
      <c r="Q173" s="36" t="n">
        <f aca="false">2*PI()*(0.993133+99.997361*L173 - INT(0.993133+99.997361*L173))</f>
        <v>2.89474232202582</v>
      </c>
      <c r="R173" s="36" t="n">
        <f aca="false">2*PI()*(0.827361+1236.853086*L173 - INT(0.827361+1236.853086*L173))</f>
        <v>4.55936667423464</v>
      </c>
      <c r="S173" s="36" t="n">
        <f aca="false">2*PI()*(0.259086+1342.227825*L173 - INT(0.259086+1342.227825*L173))</f>
        <v>5.23482865881503</v>
      </c>
      <c r="T173" s="36" t="n">
        <f aca="false">S173+(O173+412*SIN(2*S173)+541*SIN(Q173))/206264.8062</f>
        <v>5.36593773535858</v>
      </c>
      <c r="U173" s="36" t="n">
        <f aca="false">S173-2*R173</f>
        <v>-3.88390468965424</v>
      </c>
      <c r="V173" s="34" t="n">
        <f aca="false">-526*SIN(U173)+44*SIN(P173+U173)-31*SIN(-P173+U173)-23*SIN(Q173+U173)+11*SIN(-Q173+U173)-25*SIN(-2*P173+S173)+21*SIN(-P173+S173)</f>
        <v>-418.028865107294</v>
      </c>
      <c r="W173" s="36" t="n">
        <f aca="false">2*PI()*(N173+O173/1296000-INT(N173+O173/1296000))</f>
        <v>6.24806493942042</v>
      </c>
      <c r="X173" s="35" t="n">
        <f aca="false">W173*180/PI()</f>
        <v>357.987751152452</v>
      </c>
      <c r="Y173" s="36" t="n">
        <f aca="false">(18520*SIN(T173)+V173)/206264.8062</f>
        <v>-0.0733117476904493</v>
      </c>
      <c r="Z173" s="36" t="n">
        <f aca="false">Y173*180/PI()</f>
        <v>-4.2004537313907</v>
      </c>
      <c r="AA173" s="36" t="n">
        <f aca="false">COS(Y173)*COS(W173)</f>
        <v>0.996698896887686</v>
      </c>
      <c r="AB173" s="36" t="n">
        <f aca="false">COS(Y173)*SIN(W173)</f>
        <v>-0.035018830866205</v>
      </c>
      <c r="AC173" s="36" t="n">
        <f aca="false">SIN(Y173)</f>
        <v>-0.0732460949650812</v>
      </c>
      <c r="AD173" s="36" t="n">
        <f aca="false">COS($A$10*(23.4393-46.815*L173/3600))*AB173-SIN($A$10*(23.4393-46.815*L173/3600))*AC173</f>
        <v>-0.00299765053530497</v>
      </c>
      <c r="AE173" s="36" t="n">
        <f aca="false">SIN($A$10*(23.4393-46.815*L173/3600))*AB173+COS($A$10*(23.4393-46.815*L173/3600))*AC173</f>
        <v>-0.0811315168977984</v>
      </c>
      <c r="AF173" s="36" t="n">
        <f aca="false">SQRT(1-AE173*AE173)</f>
        <v>0.996703404712687</v>
      </c>
      <c r="AG173" s="35" t="n">
        <f aca="false">ATAN(AE173/AF173)/$A$10</f>
        <v>-4.65360831621986</v>
      </c>
      <c r="AH173" s="36" t="n">
        <f aca="false">IF(24*ATAN(AD173/(AA173+AF173))/PI()&gt;0,24*ATAN(AD173/(AA173+AF173))/PI(),24*ATAN(AD173/(AA173+AF173))/PI()+24)</f>
        <v>23.9885119296107</v>
      </c>
      <c r="AI173" s="63" t="n">
        <f aca="false">IF(M173-15*AH173&gt;0,M173-15*AH173,360+M173-15*AH173)</f>
        <v>284.348070467646</v>
      </c>
      <c r="AJ173" s="32" t="n">
        <f aca="false">0.950724+0.051818*COS(P173)+0.009531*COS(2*R173-P173)+0.007843*COS(2*R173)+0.002824*COS(2*P173)+0.000857*COS(2*R173+P173)+0.000533*COS(2*R173-Q173)*(1-0.002495*(J173-2415020)/36525)+0.000401*COS(2*R173-Q173-P173)*(1-0.002495*(J173-2415020)/36525)+0.00032*COS(P173-Q173)*(1-0.002495*(J173-2415020)/36525)-0.000271*COS(R173)</f>
        <v>0.956435433013387</v>
      </c>
      <c r="AK173" s="36" t="n">
        <f aca="false">ASIN(COS($A$10*$B$5)*COS($A$10*AG173)*COS($A$10*AI173)+SIN($A$10*$B$5)*SIN($A$10*AG173))/$A$10</f>
        <v>5.54427822351153</v>
      </c>
      <c r="AL173" s="32" t="n">
        <f aca="false">ASIN((0.9983271+0.0016764*COS($A$10*2*$B$5))*COS($A$10*AK173)*SIN($A$10*AJ173))/$A$10</f>
        <v>0.950090828230564</v>
      </c>
      <c r="AM173" s="32" t="n">
        <f aca="false">AK173-AL173</f>
        <v>4.59418739528096</v>
      </c>
      <c r="AN173" s="35" t="n">
        <f aca="false"> MOD(280.4664567 + 360007.6982779*L173/10 + 0.03032028*L173^2/100 + L173^3/49931000,360)</f>
        <v>89.1815326980159</v>
      </c>
      <c r="AO173" s="32" t="n">
        <f aca="false"> AN173 + (1.9146 - 0.004817*L173 - 0.000014*L173^2)*SIN(Q173)+ (0.019993 - 0.000101*L173)*SIN(2*Q173)+ 0.00029*SIN(3*Q173)</f>
        <v>89.6398344357436</v>
      </c>
      <c r="AP173" s="32" t="n">
        <f aca="false">ACOS(COS(W173-$A$10*AO173)*COS(Y173))/$A$10</f>
        <v>91.6476443924746</v>
      </c>
      <c r="AQ173" s="34" t="n">
        <f aca="false">180 - AP173 -0.1468*(1-0.0549*SIN(Q173))*SIN($A$10*AP173)/(1-0.0167*SIN($A$10*AO173))</f>
        <v>88.2051261062912</v>
      </c>
      <c r="AR173" s="64" t="n">
        <f aca="false">SIN($A$10*AI173)</f>
        <v>-0.968808161194513</v>
      </c>
      <c r="AS173" s="64" t="n">
        <f aca="false">COS($A$10*AI173)*SIN($A$10*$B$5) - TAN($A$10*AG173)*COS($A$10*$B$5)</f>
        <v>0.24215776385927</v>
      </c>
      <c r="AT173" s="24" t="n">
        <f aca="false">IF(OR(AND(AR173*AS173&gt;0), AND(AR173&lt;0,AS173&gt;0)), MOD(ATAN2(AS173,AR173)/$A$10+360,360),  ATAN2(AS173,AR173)/$A$10)</f>
        <v>284.033778942726</v>
      </c>
      <c r="AU173" s="39" t="n">
        <f aca="false"> 385000.56 + (-20905355*COS(P173) - 3699111*COS(2*R173-P173) - 2955968*COS(2*R173) - 569925*COS(2*P173) + (1-0.002516*L173)*48888*COS(Q173) - 3149*COS(2*S173)  +246158*COS(2*R173-2*P173) -(1 - 0.002516*L173)*152138*COS(2*R173-Q173-P173) -170733*COS(2*R173+P173) -(1 - 0.002516*L173)*204586*COS(2*R173-Q173) -(1 - 0.002516*L173)*129620*COS(Q173-P173)  + 108743*COS(R173) +(1-0.002516*L173)*104755*COS(Q173+P173) +10321*COS(2*R173-2*S173) +79661*COS(P173-2*S173) -34782*COS(4*R173-P173) -23210*COS(3*P173)  -21636*COS(4*R173-2*P173) +(1 - 0.002516*L173)*24208*COS(2*R173+Q173-P173) +(1 - 0.002516*L173)*30824*COS(2*R173+Q173) -8379*COS(R173-P173) -(1 - 0.002516*L173)*16675*COS(R173+Q173)  -(1 - 0.002516*L173)*12831*COS(2*R173-Q173+P173) -10445*COS(2*R173+2*P173) -11650*COS(4*R173) +14403*COS(2*R173-3*P173) -(1-0.002516*L173)*7003*COS(Q173-2*P173)  + (1 - 0.002516*L173)*10056*COS(2*R173-Q173-2*P173) +6322*COS(R173+P173) -(1 - 0.002516*L173)*(1-0.002516*L173)*9884*COS(2*R173-2*Q173) +(1-0.002516*L173)*5751*COS(Q173+2*P173) - (1-0.002516*L173)^2*4950*COS(2*R173-2*Q173-P173)  +4130*COS(2*R173+P173-2*S173) -(1-0.002516*L173)*3958*COS(4*R173-Q173-P173) +3258*COS(3*R173-P173) +(1 - 0.002516*L173)*2616*COS(2*R173+Q173+P173) -(1 - 0.002516*L173)*1897*COS(4*R173-Q173-2*P173)  -(1-0.002516*L173)^2*2117*COS(2*Q173-P173) +(1-0.002516*L173)^2*2354*COS(2*R173+2*Q173-P173) -1423*COS(4*R173+P173) -1117*COS(4*P173) -(1-0.002516*L173)*1571*COS(4*R173-Q173)  -1739*COS(R173-2*P173) -4421*COS(2*P173-2*S173) +(1-0.002516*L173)^2*1165*COS(2*Q173+P173) +8752*COS(2*R173-P173-2*S173))/1000</f>
        <v>382070.563715431</v>
      </c>
      <c r="AV173" s="54" t="n">
        <f aca="false">ATAN(0.99664719*TAN($A$10*input!$E$2))</f>
        <v>0.871010436227447</v>
      </c>
      <c r="AW173" s="54" t="n">
        <f aca="false">COS(AV173)</f>
        <v>0.644053912545845</v>
      </c>
      <c r="AX173" s="54" t="n">
        <f aca="false">0.99664719*SIN(AV173)</f>
        <v>0.762415269897027</v>
      </c>
      <c r="AY173" s="54" t="n">
        <f aca="false">6378.14/AU173</f>
        <v>0.0166936178960662</v>
      </c>
      <c r="AZ173" s="55" t="n">
        <f aca="false">M173-15*AH173</f>
        <v>-75.6519295323537</v>
      </c>
      <c r="BA173" s="56" t="n">
        <f aca="false">COS($A$10*AG173)*SIN($A$10*AZ173)</f>
        <v>-0.965614392776009</v>
      </c>
      <c r="BB173" s="56" t="n">
        <f aca="false">COS($A$10*AG173)*COS($A$10*AZ173)-AW173*AY173</f>
        <v>0.23624339267971</v>
      </c>
      <c r="BC173" s="56" t="n">
        <f aca="false">SIN($A$10*AG173)-AX173*AY173</f>
        <v>-0.0938589860915855</v>
      </c>
      <c r="BD173" s="57" t="n">
        <f aca="false">SQRT(BA173^2+BB173^2+BC173^2)</f>
        <v>0.998514699636986</v>
      </c>
      <c r="BE173" s="58" t="n">
        <f aca="false">AU173*BD173</f>
        <v>381503.074168448</v>
      </c>
    </row>
    <row r="174" customFormat="false" ht="15" hidden="false" customHeight="false" outlineLevel="0" collapsed="false">
      <c r="D174" s="41" t="n">
        <f aca="false">K174-INT(275*E174/9)+IF($A$8="common year",2,1)*INT((E174+9)/12)+30</f>
        <v>22</v>
      </c>
      <c r="E174" s="41" t="n">
        <f aca="false">IF(K174&lt;32,1,INT(9*(IF($A$8="common year",2,1)+K174)/275+0.98))</f>
        <v>6</v>
      </c>
      <c r="F174" s="42" t="n">
        <f aca="false">AM174</f>
        <v>2.36420339892032</v>
      </c>
      <c r="G174" s="60" t="n">
        <f aca="false">F174+1.02/(TAN($A$10*(F174+10.3/(F174+5.11)))*60)</f>
        <v>2.62411009599234</v>
      </c>
      <c r="H174" s="43" t="n">
        <f aca="false">100*(1+COS($A$10*AQ174))/2</f>
        <v>41.0484949434848</v>
      </c>
      <c r="I174" s="43" t="n">
        <f aca="false">IF(AI174&gt;180,AT174-180,AT174+180)</f>
        <v>91.996482615997</v>
      </c>
      <c r="J174" s="61" t="n">
        <f aca="false">$J$2+K173</f>
        <v>2459752.5</v>
      </c>
      <c r="K174" s="21" t="n">
        <v>173</v>
      </c>
      <c r="L174" s="62" t="n">
        <f aca="false">(J174-2451545)/36525</f>
        <v>0.224709103353867</v>
      </c>
      <c r="M174" s="63" t="n">
        <f aca="false">MOD(280.46061837+360.98564736629*(J174-2451545)+0.000387933*L174^2-L174^3/38710000+$B$7,360)</f>
        <v>285.161396783311</v>
      </c>
      <c r="N174" s="30" t="n">
        <f aca="false">0.606433+1336.855225*L174 - INT(0.606433+1336.855225*L174)</f>
        <v>0.00997192368237165</v>
      </c>
      <c r="O174" s="35" t="n">
        <f aca="false">22640*SIN(P174)-4586*SIN(P174-2*R174)+2370*SIN(2*R174)+769*SIN(2*P174)-668*SIN(Q174)-412*SIN(2*S174)-212*SIN(2*P174-2*R174)-206*SIN(P174+Q174-2*R174)+192*SIN(P174+2*R174)-165*SIN(Q174-2*R174)-125*SIN(R174)-110*SIN(P174+Q174)+148*SIN(P174-Q174)-55*SIN(2*S174-2*R174)</f>
        <v>26932.0562433512</v>
      </c>
      <c r="P174" s="32" t="n">
        <f aca="false">2*PI()*(0.374897+1325.55241*L174 - INT(0.374897+1325.55241*L174))</f>
        <v>1.4991083218821</v>
      </c>
      <c r="Q174" s="36" t="n">
        <f aca="false">2*PI()*(0.993133+99.997361*L174 - INT(0.993133+99.997361*L174))</f>
        <v>2.9119442918928</v>
      </c>
      <c r="R174" s="36" t="n">
        <f aca="false">2*PI()*(0.827361+1236.853086*L174 - INT(0.827361+1236.853086*L174))</f>
        <v>4.77213538435366</v>
      </c>
      <c r="S174" s="36" t="n">
        <f aca="false">2*PI()*(0.259086+1342.227825*L174 - INT(0.259086+1342.227825*L174))</f>
        <v>5.46572437815604</v>
      </c>
      <c r="T174" s="36" t="n">
        <f aca="false">S174+(O174+412*SIN(2*S174)+541*SIN(Q174))/206264.8062</f>
        <v>5.5948983954745</v>
      </c>
      <c r="U174" s="36" t="n">
        <f aca="false">S174-2*R174</f>
        <v>-4.07854639055128</v>
      </c>
      <c r="V174" s="34" t="n">
        <f aca="false">-526*SIN(U174)+44*SIN(P174+U174)-31*SIN(-P174+U174)-23*SIN(Q174+U174)+11*SIN(-Q174+U174)-25*SIN(-2*P174+S174)+21*SIN(-P174+S174)</f>
        <v>-484.414006101585</v>
      </c>
      <c r="W174" s="36" t="n">
        <f aca="false">2*PI()*(N174+O174/1296000-INT(N174+O174/1296000))</f>
        <v>0.193225737637275</v>
      </c>
      <c r="X174" s="35" t="n">
        <f aca="false">W174*180/PI()</f>
        <v>11.071019259918</v>
      </c>
      <c r="Y174" s="36" t="n">
        <f aca="false">(18520*SIN(T174)+V174)/206264.8062</f>
        <v>-0.0593828714876747</v>
      </c>
      <c r="Z174" s="36" t="n">
        <f aca="false">Y174*180/PI()</f>
        <v>-3.40238791161151</v>
      </c>
      <c r="AA174" s="36" t="n">
        <f aca="false">COS(Y174)*COS(W174)</f>
        <v>0.979660076178856</v>
      </c>
      <c r="AB174" s="36" t="n">
        <f aca="false">COS(Y174)*SIN(W174)</f>
        <v>0.19168712204284</v>
      </c>
      <c r="AC174" s="36" t="n">
        <f aca="false">SIN(Y174)</f>
        <v>-0.05934797708576</v>
      </c>
      <c r="AD174" s="36" t="n">
        <f aca="false">COS($A$10*(23.4393-46.815*L174/3600))*AB174-SIN($A$10*(23.4393-46.815*L174/3600))*AC174</f>
        <v>0.199477873627173</v>
      </c>
      <c r="AE174" s="36" t="n">
        <f aca="false">SIN($A$10*(23.4393-46.815*L174/3600))*AB174+COS($A$10*(23.4393-46.815*L174/3600))*AC174</f>
        <v>0.0217879111991056</v>
      </c>
      <c r="AF174" s="36" t="n">
        <f aca="false">SQRT(1-AE174*AE174)</f>
        <v>0.999762615287039</v>
      </c>
      <c r="AG174" s="35" t="n">
        <f aca="false">ATAN(AE174/AF174)/$A$10</f>
        <v>1.24845414565438</v>
      </c>
      <c r="AH174" s="36" t="n">
        <f aca="false">IF(24*ATAN(AD174/(AA174+AF174))/PI()&gt;0,24*ATAN(AD174/(AA174+AF174))/PI(),24*ATAN(AD174/(AA174+AF174))/PI()+24)</f>
        <v>0.767279841062603</v>
      </c>
      <c r="AI174" s="63" t="n">
        <f aca="false">IF(M174-15*AH174&gt;0,M174-15*AH174,360+M174-15*AH174)</f>
        <v>273.652199167372</v>
      </c>
      <c r="AJ174" s="32" t="n">
        <f aca="false">0.950724+0.051818*COS(P174)+0.009531*COS(2*R174-P174)+0.007843*COS(2*R174)+0.002824*COS(2*P174)+0.000857*COS(2*R174+P174)+0.000533*COS(2*R174-Q174)*(1-0.002495*(J174-2415020)/36525)+0.000401*COS(2*R174-Q174-P174)*(1-0.002495*(J174-2415020)/36525)+0.00032*COS(P174-Q174)*(1-0.002495*(J174-2415020)/36525)-0.000271*COS(R174)</f>
        <v>0.942779968414826</v>
      </c>
      <c r="AK174" s="36" t="n">
        <f aca="false">ASIN(COS($A$10*$B$5)*COS($A$10*AG174)*COS($A$10*AI174)+SIN($A$10*$B$5)*SIN($A$10*AG174))/$A$10</f>
        <v>3.30356783093965</v>
      </c>
      <c r="AL174" s="32" t="n">
        <f aca="false">ASIN((0.9983271+0.0016764*COS($A$10*2*$B$5))*COS($A$10*AK174)*SIN($A$10*AJ174))/$A$10</f>
        <v>0.939364432019327</v>
      </c>
      <c r="AM174" s="32" t="n">
        <f aca="false">AK174-AL174</f>
        <v>2.36420339892032</v>
      </c>
      <c r="AN174" s="35" t="n">
        <f aca="false"> MOD(280.4664567 + 360007.6982779*L174/10 + 0.03032028*L174^2/100 + L174^3/49931000,360)</f>
        <v>90.1671800618515</v>
      </c>
      <c r="AO174" s="32" t="n">
        <f aca="false"> AN174 + (1.9146 - 0.004817*L174 - 0.000014*L174^2)*SIN(Q174)+ (0.019993 - 0.000101*L174)*SIN(2*Q174)+ 0.00029*SIN(3*Q174)</f>
        <v>90.59409489301</v>
      </c>
      <c r="AP174" s="32" t="n">
        <f aca="false">ACOS(COS(W174-$A$10*AO174)*COS(Y174))/$A$10</f>
        <v>79.5417507816433</v>
      </c>
      <c r="AQ174" s="34" t="n">
        <f aca="false">180 - AP174 -0.1468*(1-0.0549*SIN(Q174))*SIN($A$10*AP174)/(1-0.0167*SIN($A$10*AO174))</f>
        <v>100.313271044107</v>
      </c>
      <c r="AR174" s="64" t="n">
        <f aca="false">SIN($A$10*AI174)</f>
        <v>-0.997969109115869</v>
      </c>
      <c r="AS174" s="64" t="n">
        <f aca="false">COS($A$10*AI174)*SIN($A$10*$B$5) - TAN($A$10*AG174)*COS($A$10*$B$5)</f>
        <v>0.0347885093845494</v>
      </c>
      <c r="AT174" s="24" t="n">
        <f aca="false">IF(OR(AND(AR174*AS174&gt;0), AND(AR174&lt;0,AS174&gt;0)), MOD(ATAN2(AS174,AR174)/$A$10+360,360),  ATAN2(AS174,AR174)/$A$10)</f>
        <v>271.996482615997</v>
      </c>
      <c r="AU174" s="39" t="n">
        <f aca="false"> 385000.56 + (-20905355*COS(P174) - 3699111*COS(2*R174-P174) - 2955968*COS(2*R174) - 569925*COS(2*P174) + (1-0.002516*L174)*48888*COS(Q174) - 3149*COS(2*S174)  +246158*COS(2*R174-2*P174) -(1 - 0.002516*L174)*152138*COS(2*R174-Q174-P174) -170733*COS(2*R174+P174) -(1 - 0.002516*L174)*204586*COS(2*R174-Q174) -(1 - 0.002516*L174)*129620*COS(Q174-P174)  + 108743*COS(R174) +(1-0.002516*L174)*104755*COS(Q174+P174) +10321*COS(2*R174-2*S174) +79661*COS(P174-2*S174) -34782*COS(4*R174-P174) -23210*COS(3*P174)  -21636*COS(4*R174-2*P174) +(1 - 0.002516*L174)*24208*COS(2*R174+Q174-P174) +(1 - 0.002516*L174)*30824*COS(2*R174+Q174) -8379*COS(R174-P174) -(1 - 0.002516*L174)*16675*COS(R174+Q174)  -(1 - 0.002516*L174)*12831*COS(2*R174-Q174+P174) -10445*COS(2*R174+2*P174) -11650*COS(4*R174) +14403*COS(2*R174-3*P174) -(1-0.002516*L174)*7003*COS(Q174-2*P174)  + (1 - 0.002516*L174)*10056*COS(2*R174-Q174-2*P174) +6322*COS(R174+P174) -(1 - 0.002516*L174)*(1-0.002516*L174)*9884*COS(2*R174-2*Q174) +(1-0.002516*L174)*5751*COS(Q174+2*P174) - (1-0.002516*L174)^2*4950*COS(2*R174-2*Q174-P174)  +4130*COS(2*R174+P174-2*S174) -(1-0.002516*L174)*3958*COS(4*R174-Q174-P174) +3258*COS(3*R174-P174) +(1 - 0.002516*L174)*2616*COS(2*R174+Q174+P174) -(1 - 0.002516*L174)*1897*COS(4*R174-Q174-2*P174)  -(1-0.002516*L174)^2*2117*COS(2*Q174-P174) +(1-0.002516*L174)^2*2354*COS(2*R174+2*Q174-P174) -1423*COS(4*R174+P174) -1117*COS(4*P174) -(1-0.002516*L174)*1571*COS(4*R174-Q174)  -1739*COS(R174-2*P174) -4421*COS(2*P174-2*S174) +(1-0.002516*L174)^2*1165*COS(2*Q174+P174) +8752*COS(2*R174-P174-2*S174))/1000</f>
        <v>387556.414325533</v>
      </c>
      <c r="AV174" s="54" t="n">
        <f aca="false">ATAN(0.99664719*TAN($A$10*input!$E$2))</f>
        <v>0.871010436227447</v>
      </c>
      <c r="AW174" s="54" t="n">
        <f aca="false">COS(AV174)</f>
        <v>0.644053912545845</v>
      </c>
      <c r="AX174" s="54" t="n">
        <f aca="false">0.99664719*SIN(AV174)</f>
        <v>0.762415269897027</v>
      </c>
      <c r="AY174" s="54" t="n">
        <f aca="false">6378.14/AU174</f>
        <v>0.0164573201842109</v>
      </c>
      <c r="AZ174" s="55" t="n">
        <f aca="false">M174-15*AH174</f>
        <v>273.652199167372</v>
      </c>
      <c r="BA174" s="56" t="n">
        <f aca="false">COS($A$10*AG174)*SIN($A$10*AZ174)</f>
        <v>-0.997732206505358</v>
      </c>
      <c r="BB174" s="56" t="n">
        <f aca="false">COS($A$10*AG174)*COS($A$10*AZ174)-AW174*AY174</f>
        <v>0.0530852201390154</v>
      </c>
      <c r="BC174" s="56" t="n">
        <f aca="false">SIN($A$10*AG174)-AX174*AY174</f>
        <v>0.00924059898907862</v>
      </c>
      <c r="BD174" s="57" t="n">
        <f aca="false">SQRT(BA174^2+BB174^2+BC174^2)</f>
        <v>0.999186161415847</v>
      </c>
      <c r="BE174" s="58" t="n">
        <f aca="false">AU174*BD174</f>
        <v>387241.005962019</v>
      </c>
    </row>
    <row r="175" customFormat="false" ht="15" hidden="false" customHeight="false" outlineLevel="0" collapsed="false">
      <c r="D175" s="41" t="n">
        <f aca="false">K175-INT(275*E175/9)+IF($A$8="common year",2,1)*INT((E175+9)/12)+30</f>
        <v>23</v>
      </c>
      <c r="E175" s="41" t="n">
        <f aca="false">IF(K175&lt;32,1,INT(9*(IF($A$8="common year",2,1)+K175)/275+0.98))</f>
        <v>6</v>
      </c>
      <c r="F175" s="42" t="n">
        <f aca="false">AM175</f>
        <v>0.0621231365732976</v>
      </c>
      <c r="G175" s="60" t="n">
        <f aca="false">F175+1.02/(TAN($A$10*(F175+10.3/(F175+5.11)))*60)</f>
        <v>0.536230131671534</v>
      </c>
      <c r="H175" s="43" t="n">
        <f aca="false">100*(1+COS($A$10*AQ175))/2</f>
        <v>31.206611077325</v>
      </c>
      <c r="I175" s="43" t="n">
        <f aca="false">IF(AI175&gt;180,AT175-180,AT175+180)</f>
        <v>80.3540478863672</v>
      </c>
      <c r="J175" s="61" t="n">
        <f aca="false">$J$2+K174</f>
        <v>2459753.5</v>
      </c>
      <c r="K175" s="21" t="n">
        <v>174</v>
      </c>
      <c r="L175" s="62" t="n">
        <f aca="false">(J175-2451545)/36525</f>
        <v>0.224736481861739</v>
      </c>
      <c r="M175" s="63" t="n">
        <f aca="false">MOD(280.46061837+360.98564736629*(J175-2451545)+0.000387933*L175^2-L175^3/38710000+$B$7,360)</f>
        <v>286.14704415435</v>
      </c>
      <c r="N175" s="30" t="n">
        <f aca="false">0.606433+1336.855225*L175 - INT(0.606433+1336.855225*L175)</f>
        <v>0.0465730249828766</v>
      </c>
      <c r="O175" s="35" t="n">
        <f aca="false">22640*SIN(P175)-4586*SIN(P175-2*R175)+2370*SIN(2*R175)+769*SIN(2*P175)-668*SIN(Q175)-412*SIN(2*S175)-212*SIN(2*P175-2*R175)-206*SIN(P175+Q175-2*R175)+192*SIN(P175+2*R175)-165*SIN(Q175-2*R175)-125*SIN(R175)-110*SIN(P175+Q175)+148*SIN(P175-Q175)-55*SIN(2*S175-2*R175)</f>
        <v>25264.9110039972</v>
      </c>
      <c r="P175" s="32" t="n">
        <f aca="false">2*PI()*(0.374897+1325.55241*L175 - INT(0.374897+1325.55241*L175))</f>
        <v>1.72713546565792</v>
      </c>
      <c r="Q175" s="36" t="n">
        <f aca="false">2*PI()*(0.993133+99.997361*L175 - INT(0.993133+99.997361*L175))</f>
        <v>2.92914626175981</v>
      </c>
      <c r="R175" s="36" t="n">
        <f aca="false">2*PI()*(0.827361+1236.853086*L175 - INT(0.827361+1236.853086*L175))</f>
        <v>4.98490409447268</v>
      </c>
      <c r="S175" s="36" t="n">
        <f aca="false">2*PI()*(0.259086+1342.227825*L175 - INT(0.259086+1342.227825*L175))</f>
        <v>5.69662009749704</v>
      </c>
      <c r="T175" s="36" t="n">
        <f aca="false">S175+(O175+412*SIN(2*S175)+541*SIN(Q175))/206264.8062</f>
        <v>5.81781930629763</v>
      </c>
      <c r="U175" s="36" t="n">
        <f aca="false">S175-2*R175</f>
        <v>-4.27318809144833</v>
      </c>
      <c r="V175" s="34" t="n">
        <f aca="false">-526*SIN(U175)+44*SIN(P175+U175)-31*SIN(-P175+U175)-23*SIN(Q175+U175)+11*SIN(-Q175+U175)-25*SIN(-2*P175+S175)+21*SIN(-P175+S175)</f>
        <v>-530.785344140867</v>
      </c>
      <c r="W175" s="36" t="n">
        <f aca="false">2*PI()*(N175+O175/1296000-INT(N175+O175/1296000))</f>
        <v>0.415114691350845</v>
      </c>
      <c r="X175" s="35" t="n">
        <f aca="false">W175*180/PI()</f>
        <v>23.7843198282792</v>
      </c>
      <c r="Y175" s="36" t="n">
        <f aca="false">(18520*SIN(T175)+V175)/206264.8062</f>
        <v>-0.0428654497905904</v>
      </c>
      <c r="Z175" s="36" t="n">
        <f aca="false">Y175*180/PI()</f>
        <v>-2.45600935993077</v>
      </c>
      <c r="AA175" s="36" t="n">
        <f aca="false">COS(Y175)*COS(W175)</f>
        <v>0.91422950451687</v>
      </c>
      <c r="AB175" s="36" t="n">
        <f aca="false">COS(Y175)*SIN(W175)</f>
        <v>0.40292442394694</v>
      </c>
      <c r="AC175" s="36" t="n">
        <f aca="false">SIN(Y175)</f>
        <v>-0.042852323832738</v>
      </c>
      <c r="AD175" s="36" t="n">
        <f aca="false">COS($A$10*(23.4393-46.815*L175/3600))*AB175-SIN($A$10*(23.4393-46.815*L175/3600))*AC175</f>
        <v>0.386727757326346</v>
      </c>
      <c r="AE175" s="36" t="n">
        <f aca="false">SIN($A$10*(23.4393-46.815*L175/3600))*AB175+COS($A$10*(23.4393-46.815*L175/3600))*AC175</f>
        <v>0.120938227141687</v>
      </c>
      <c r="AF175" s="36" t="n">
        <f aca="false">SQRT(1-AE175*AE175)</f>
        <v>0.992660035065291</v>
      </c>
      <c r="AG175" s="35" t="n">
        <f aca="false">ATAN(AE175/AF175)/$A$10</f>
        <v>6.94625341329533</v>
      </c>
      <c r="AH175" s="36" t="n">
        <f aca="false">IF(24*ATAN(AD175/(AA175+AF175))/PI()&gt;0,24*ATAN(AD175/(AA175+AF175))/PI(),24*ATAN(AD175/(AA175+AF175))/PI()+24)</f>
        <v>1.52858822320268</v>
      </c>
      <c r="AI175" s="63" t="n">
        <f aca="false">IF(M175-15*AH175&gt;0,M175-15*AH175,360+M175-15*AH175)</f>
        <v>263.21822080631</v>
      </c>
      <c r="AJ175" s="32" t="n">
        <f aca="false">0.950724+0.051818*COS(P175)+0.009531*COS(2*R175-P175)+0.007843*COS(2*R175)+0.002824*COS(2*P175)+0.000857*COS(2*R175+P175)+0.000533*COS(2*R175-Q175)*(1-0.002495*(J175-2415020)/36525)+0.000401*COS(2*R175-Q175-P175)*(1-0.002495*(J175-2415020)/36525)+0.00032*COS(P175-Q175)*(1-0.002495*(J175-2415020)/36525)-0.000271*COS(R175)</f>
        <v>0.93085726912555</v>
      </c>
      <c r="AK175" s="36" t="n">
        <f aca="false">ASIN(COS($A$10*$B$5)*COS($A$10*AG175)*COS($A$10*AI175)+SIN($A$10*$B$5)*SIN($A$10*AG175))/$A$10</f>
        <v>0.991013062040309</v>
      </c>
      <c r="AL175" s="32" t="n">
        <f aca="false">ASIN((0.9983271+0.0016764*COS($A$10*2*$B$5))*COS($A$10*AK175)*SIN($A$10*AJ175))/$A$10</f>
        <v>0.928889925467011</v>
      </c>
      <c r="AM175" s="32" t="n">
        <f aca="false">AK175-AL175</f>
        <v>0.0621231365732976</v>
      </c>
      <c r="AN175" s="35" t="n">
        <f aca="false"> MOD(280.4664567 + 360007.6982779*L175/10 + 0.03032028*L175^2/100 + L175^3/49931000,360)</f>
        <v>91.1528274256853</v>
      </c>
      <c r="AO175" s="32" t="n">
        <f aca="false"> AN175 + (1.9146 - 0.004817*L175 - 0.000014*L175^2)*SIN(Q175)+ (0.019993 - 0.000101*L175)*SIN(2*Q175)+ 0.00029*SIN(3*Q175)</f>
        <v>91.5482364521239</v>
      </c>
      <c r="AP175" s="32" t="n">
        <f aca="false">ACOS(COS(W175-$A$10*AO175)*COS(Y175))/$A$10</f>
        <v>67.7854319262765</v>
      </c>
      <c r="AQ175" s="34" t="n">
        <f aca="false">180 - AP175 -0.1468*(1-0.0549*SIN(Q175))*SIN($A$10*AP175)/(1-0.0167*SIN($A$10*AO175))</f>
        <v>112.077956997216</v>
      </c>
      <c r="AR175" s="64" t="n">
        <f aca="false">SIN($A$10*AI175)</f>
        <v>-0.993003111904026</v>
      </c>
      <c r="AS175" s="64" t="n">
        <f aca="false">COS($A$10*AI175)*SIN($A$10*$B$5) - TAN($A$10*AG175)*COS($A$10*$B$5)</f>
        <v>-0.168773203175542</v>
      </c>
      <c r="AT175" s="24" t="n">
        <f aca="false">IF(OR(AND(AR175*AS175&gt;0), AND(AR175&lt;0,AS175&gt;0)), MOD(ATAN2(AS175,AR175)/$A$10+360,360),  ATAN2(AS175,AR175)/$A$10)</f>
        <v>260.354047886367</v>
      </c>
      <c r="AU175" s="39" t="n">
        <f aca="false"> 385000.56 + (-20905355*COS(P175) - 3699111*COS(2*R175-P175) - 2955968*COS(2*R175) - 569925*COS(2*P175) + (1-0.002516*L175)*48888*COS(Q175) - 3149*COS(2*S175)  +246158*COS(2*R175-2*P175) -(1 - 0.002516*L175)*152138*COS(2*R175-Q175-P175) -170733*COS(2*R175+P175) -(1 - 0.002516*L175)*204586*COS(2*R175-Q175) -(1 - 0.002516*L175)*129620*COS(Q175-P175)  + 108743*COS(R175) +(1-0.002516*L175)*104755*COS(Q175+P175) +10321*COS(2*R175-2*S175) +79661*COS(P175-2*S175) -34782*COS(4*R175-P175) -23210*COS(3*P175)  -21636*COS(4*R175-2*P175) +(1 - 0.002516*L175)*24208*COS(2*R175+Q175-P175) +(1 - 0.002516*L175)*30824*COS(2*R175+Q175) -8379*COS(R175-P175) -(1 - 0.002516*L175)*16675*COS(R175+Q175)  -(1 - 0.002516*L175)*12831*COS(2*R175-Q175+P175) -10445*COS(2*R175+2*P175) -11650*COS(4*R175) +14403*COS(2*R175-3*P175) -(1-0.002516*L175)*7003*COS(Q175-2*P175)  + (1 - 0.002516*L175)*10056*COS(2*R175-Q175-2*P175) +6322*COS(R175+P175) -(1 - 0.002516*L175)*(1-0.002516*L175)*9884*COS(2*R175-2*Q175) +(1-0.002516*L175)*5751*COS(Q175+2*P175) - (1-0.002516*L175)^2*4950*COS(2*R175-2*Q175-P175)  +4130*COS(2*R175+P175-2*S175) -(1-0.002516*L175)*3958*COS(4*R175-Q175-P175) +3258*COS(3*R175-P175) +(1 - 0.002516*L175)*2616*COS(2*R175+Q175+P175) -(1 - 0.002516*L175)*1897*COS(4*R175-Q175-2*P175)  -(1-0.002516*L175)^2*2117*COS(2*Q175-P175) +(1-0.002516*L175)^2*2354*COS(2*R175+2*Q175-P175) -1423*COS(4*R175+P175) -1117*COS(4*P175) -(1-0.002516*L175)*1571*COS(4*R175-Q175)  -1739*COS(R175-2*P175) -4421*COS(2*P175-2*S175) +(1-0.002516*L175)^2*1165*COS(2*Q175+P175) +8752*COS(2*R175-P175-2*S175))/1000</f>
        <v>392500.149380623</v>
      </c>
      <c r="AV175" s="54" t="n">
        <f aca="false">ATAN(0.99664719*TAN($A$10*input!$E$2))</f>
        <v>0.871010436227447</v>
      </c>
      <c r="AW175" s="54" t="n">
        <f aca="false">COS(AV175)</f>
        <v>0.644053912545845</v>
      </c>
      <c r="AX175" s="54" t="n">
        <f aca="false">0.99664719*SIN(AV175)</f>
        <v>0.762415269897027</v>
      </c>
      <c r="AY175" s="54" t="n">
        <f aca="false">6378.14/AU175</f>
        <v>0.0162500320320002</v>
      </c>
      <c r="AZ175" s="55" t="n">
        <f aca="false">M175-15*AH175</f>
        <v>263.21822080631</v>
      </c>
      <c r="BA175" s="56" t="n">
        <f aca="false">COS($A$10*AG175)*SIN($A$10*AZ175)</f>
        <v>-0.985714503882594</v>
      </c>
      <c r="BB175" s="56" t="n">
        <f aca="false">COS($A$10*AG175)*COS($A$10*AZ175)-AW175*AY175</f>
        <v>-0.127687319884826</v>
      </c>
      <c r="BC175" s="56" t="n">
        <f aca="false">SIN($A$10*AG175)-AX175*AY175</f>
        <v>0.108548954584174</v>
      </c>
      <c r="BD175" s="57" t="n">
        <f aca="false">SQRT(BA175^2+BB175^2+BC175^2)</f>
        <v>0.999859995381951</v>
      </c>
      <c r="BE175" s="58" t="n">
        <f aca="false">AU175*BD175</f>
        <v>392445.197547124</v>
      </c>
    </row>
    <row r="176" customFormat="false" ht="15" hidden="false" customHeight="false" outlineLevel="0" collapsed="false">
      <c r="D176" s="41" t="n">
        <f aca="false">K176-INT(275*E176/9)+IF($A$8="common year",2,1)*INT((E176+9)/12)+30</f>
        <v>24</v>
      </c>
      <c r="E176" s="41" t="n">
        <f aca="false">IF(K176&lt;32,1,INT(9*(IF($A$8="common year",2,1)+K176)/275+0.98))</f>
        <v>6</v>
      </c>
      <c r="F176" s="42" t="n">
        <f aca="false">AM176</f>
        <v>-2.2628102323191</v>
      </c>
      <c r="G176" s="60" t="n">
        <f aca="false">F176+1.02/(TAN($A$10*(F176+10.3/(F176+5.11)))*60)</f>
        <v>-1.54399381682938</v>
      </c>
      <c r="H176" s="43" t="n">
        <f aca="false">100*(1+COS($A$10*AQ176))/2</f>
        <v>22.3616213652234</v>
      </c>
      <c r="I176" s="43" t="n">
        <f aca="false">IF(AI176&gt;180,AT176-180,AT176+180)</f>
        <v>69.0165922505368</v>
      </c>
      <c r="J176" s="61" t="n">
        <f aca="false">$J$2+K175</f>
        <v>2459754.5</v>
      </c>
      <c r="K176" s="21" t="n">
        <v>175</v>
      </c>
      <c r="L176" s="62" t="n">
        <f aca="false">(J176-2451545)/36525</f>
        <v>0.22476386036961</v>
      </c>
      <c r="M176" s="63" t="n">
        <f aca="false">MOD(280.46061837+360.98564736629*(J176-2451545)+0.000387933*L176^2-L176^3/38710000+$B$7,360)</f>
        <v>287.132691525389</v>
      </c>
      <c r="N176" s="30" t="n">
        <f aca="false">0.606433+1336.855225*L176 - INT(0.606433+1336.855225*L176)</f>
        <v>0.0831741262833248</v>
      </c>
      <c r="O176" s="35" t="n">
        <f aca="false">22640*SIN(P176)-4586*SIN(P176-2*R176)+2370*SIN(2*R176)+769*SIN(2*P176)-668*SIN(Q176)-412*SIN(2*S176)-212*SIN(2*P176-2*R176)-206*SIN(P176+Q176-2*R176)+192*SIN(P176+2*R176)-165*SIN(Q176-2*R176)-125*SIN(R176)-110*SIN(P176+Q176)+148*SIN(P176-Q176)-55*SIN(2*S176-2*R176)</f>
        <v>22504.3759487511</v>
      </c>
      <c r="P176" s="32" t="n">
        <f aca="false">2*PI()*(0.374897+1325.55241*L176 - INT(0.374897+1325.55241*L176))</f>
        <v>1.95516260943374</v>
      </c>
      <c r="Q176" s="36" t="n">
        <f aca="false">2*PI()*(0.993133+99.997361*L176 - INT(0.993133+99.997361*L176))</f>
        <v>2.9463482316268</v>
      </c>
      <c r="R176" s="36" t="n">
        <f aca="false">2*PI()*(0.827361+1236.853086*L176 - INT(0.827361+1236.853086*L176))</f>
        <v>5.19767280459171</v>
      </c>
      <c r="S176" s="36" t="n">
        <f aca="false">2*PI()*(0.259086+1342.227825*L176 - INT(0.259086+1342.227825*L176))</f>
        <v>5.92751581683769</v>
      </c>
      <c r="T176" s="36" t="n">
        <f aca="false">S176+(O176+412*SIN(2*S176)+541*SIN(Q176))/206264.8062</f>
        <v>6.0358249372739</v>
      </c>
      <c r="U176" s="36" t="n">
        <f aca="false">S176-2*R176</f>
        <v>-4.46782979234573</v>
      </c>
      <c r="V176" s="34" t="n">
        <f aca="false">-526*SIN(U176)+44*SIN(P176+U176)-31*SIN(-P176+U176)-23*SIN(Q176+U176)+11*SIN(-Q176+U176)-25*SIN(-2*P176+S176)+21*SIN(-P176+S176)</f>
        <v>-556.951384171006</v>
      </c>
      <c r="W176" s="36" t="n">
        <f aca="false">2*PI()*(N176+O176/1296000-INT(N176+O176/1296000))</f>
        <v>0.631702741648755</v>
      </c>
      <c r="X176" s="35" t="n">
        <f aca="false">W176*180/PI()</f>
        <v>36.1939010033167</v>
      </c>
      <c r="Y176" s="36" t="n">
        <f aca="false">(18520*SIN(T176)+V176)/206264.8062</f>
        <v>-0.0246842429991083</v>
      </c>
      <c r="Z176" s="36" t="n">
        <f aca="false">Y176*180/PI()</f>
        <v>-1.41430294432425</v>
      </c>
      <c r="AA176" s="36" t="n">
        <f aca="false">COS(Y176)*COS(W176)</f>
        <v>0.806777324202402</v>
      </c>
      <c r="AB176" s="36" t="n">
        <f aca="false">COS(Y176)*SIN(W176)</f>
        <v>0.590339869095731</v>
      </c>
      <c r="AC176" s="36" t="n">
        <f aca="false">SIN(Y176)</f>
        <v>-0.0246817363418383</v>
      </c>
      <c r="AD176" s="36" t="n">
        <f aca="false">COS($A$10*(23.4393-46.815*L176/3600))*AB176-SIN($A$10*(23.4393-46.815*L176/3600))*AC176</f>
        <v>0.551454861682026</v>
      </c>
      <c r="AE176" s="36" t="n">
        <f aca="false">SIN($A$10*(23.4393-46.815*L176/3600))*AB176+COS($A$10*(23.4393-46.815*L176/3600))*AC176</f>
        <v>0.21215061791112</v>
      </c>
      <c r="AF176" s="36" t="n">
        <f aca="false">SQRT(1-AE176*AE176)</f>
        <v>0.977236980123005</v>
      </c>
      <c r="AG176" s="35" t="n">
        <f aca="false">ATAN(AE176/AF176)/$A$10</f>
        <v>12.2484137944378</v>
      </c>
      <c r="AH176" s="36" t="n">
        <f aca="false">IF(24*ATAN(AD176/(AA176+AF176))/PI()&gt;0,24*ATAN(AD176/(AA176+AF176))/PI(),24*ATAN(AD176/(AA176+AF176))/PI()+24)</f>
        <v>2.29024657139771</v>
      </c>
      <c r="AI176" s="63" t="n">
        <f aca="false">IF(M176-15*AH176&gt;0,M176-15*AH176,360+M176-15*AH176)</f>
        <v>252.778992954423</v>
      </c>
      <c r="AJ176" s="32" t="n">
        <f aca="false">0.950724+0.051818*COS(P176)+0.009531*COS(2*R176-P176)+0.007843*COS(2*R176)+0.002824*COS(2*P176)+0.000857*COS(2*R176+P176)+0.000533*COS(2*R176-Q176)*(1-0.002495*(J176-2415020)/36525)+0.000401*COS(2*R176-Q176-P176)*(1-0.002495*(J176-2415020)/36525)+0.00032*COS(P176-Q176)*(1-0.002495*(J176-2415020)/36525)-0.000271*COS(R176)</f>
        <v>0.920937673823819</v>
      </c>
      <c r="AK176" s="36" t="n">
        <f aca="false">ASIN(COS($A$10*$B$5)*COS($A$10*AG176)*COS($A$10*AI176)+SIN($A$10*$B$5)*SIN($A$10*AG176))/$A$10</f>
        <v>-1.34393429563964</v>
      </c>
      <c r="AL176" s="32" t="n">
        <f aca="false">ASIN((0.9983271+0.0016764*COS($A$10*2*$B$5))*COS($A$10*AK176)*SIN($A$10*AJ176))/$A$10</f>
        <v>0.918875936679461</v>
      </c>
      <c r="AM176" s="32" t="n">
        <f aca="false">AK176-AL176</f>
        <v>-2.2628102323191</v>
      </c>
      <c r="AN176" s="35" t="n">
        <f aca="false"> MOD(280.4664567 + 360007.6982779*L176/10 + 0.03032028*L176^2/100 + L176^3/49931000,360)</f>
        <v>92.1384747895208</v>
      </c>
      <c r="AO176" s="32" t="n">
        <f aca="false"> AN176 + (1.9146 - 0.004817*L176 - 0.000014*L176^2)*SIN(Q176)+ (0.019993 - 0.000101*L176)*SIN(2*Q176)+ 0.00029*SIN(3*Q176)</f>
        <v>92.5022679124115</v>
      </c>
      <c r="AP176" s="32" t="n">
        <f aca="false">ACOS(COS(W176-$A$10*AO176)*COS(Y176))/$A$10</f>
        <v>56.3200032186151</v>
      </c>
      <c r="AQ176" s="34" t="n">
        <f aca="false">180 - AP176 -0.1468*(1-0.0549*SIN(Q176))*SIN($A$10*AP176)/(1-0.0167*SIN($A$10*AO176))</f>
        <v>123.557087979614</v>
      </c>
      <c r="AR176" s="64" t="n">
        <f aca="false">SIN($A$10*AI176)</f>
        <v>-0.955169878893603</v>
      </c>
      <c r="AS176" s="64" t="n">
        <f aca="false">COS($A$10*AI176)*SIN($A$10*$B$5) - TAN($A$10*AG176)*COS($A$10*$B$5)</f>
        <v>-0.366338033554446</v>
      </c>
      <c r="AT176" s="24" t="n">
        <f aca="false">IF(OR(AND(AR176*AS176&gt;0), AND(AR176&lt;0,AS176&gt;0)), MOD(ATAN2(AS176,AR176)/$A$10+360,360),  ATAN2(AS176,AR176)/$A$10)</f>
        <v>249.016592250537</v>
      </c>
      <c r="AU176" s="39" t="n">
        <f aca="false"> 385000.56 + (-20905355*COS(P176) - 3699111*COS(2*R176-P176) - 2955968*COS(2*R176) - 569925*COS(2*P176) + (1-0.002516*L176)*48888*COS(Q176) - 3149*COS(2*S176)  +246158*COS(2*R176-2*P176) -(1 - 0.002516*L176)*152138*COS(2*R176-Q176-P176) -170733*COS(2*R176+P176) -(1 - 0.002516*L176)*204586*COS(2*R176-Q176) -(1 - 0.002516*L176)*129620*COS(Q176-P176)  + 108743*COS(R176) +(1-0.002516*L176)*104755*COS(Q176+P176) +10321*COS(2*R176-2*S176) +79661*COS(P176-2*S176) -34782*COS(4*R176-P176) -23210*COS(3*P176)  -21636*COS(4*R176-2*P176) +(1 - 0.002516*L176)*24208*COS(2*R176+Q176-P176) +(1 - 0.002516*L176)*30824*COS(2*R176+Q176) -8379*COS(R176-P176) -(1 - 0.002516*L176)*16675*COS(R176+Q176)  -(1 - 0.002516*L176)*12831*COS(2*R176-Q176+P176) -10445*COS(2*R176+2*P176) -11650*COS(4*R176) +14403*COS(2*R176-3*P176) -(1-0.002516*L176)*7003*COS(Q176-2*P176)  + (1 - 0.002516*L176)*10056*COS(2*R176-Q176-2*P176) +6322*COS(R176+P176) -(1 - 0.002516*L176)*(1-0.002516*L176)*9884*COS(2*R176-2*Q176) +(1-0.002516*L176)*5751*COS(Q176+2*P176) - (1-0.002516*L176)^2*4950*COS(2*R176-2*Q176-P176)  +4130*COS(2*R176+P176-2*S176) -(1-0.002516*L176)*3958*COS(4*R176-Q176-P176) +3258*COS(3*R176-P176) +(1 - 0.002516*L176)*2616*COS(2*R176+Q176+P176) -(1 - 0.002516*L176)*1897*COS(4*R176-Q176-2*P176)  -(1-0.002516*L176)^2*2117*COS(2*Q176-P176) +(1-0.002516*L176)^2*2354*COS(2*R176+2*Q176-P176) -1423*COS(4*R176+P176) -1117*COS(4*P176) -(1-0.002516*L176)*1571*COS(4*R176-Q176)  -1739*COS(R176-2*P176) -4421*COS(2*P176-2*S176) +(1-0.002516*L176)^2*1165*COS(2*Q176+P176) +8752*COS(2*R176-P176-2*S176))/1000</f>
        <v>396744.966161603</v>
      </c>
      <c r="AV176" s="54" t="n">
        <f aca="false">ATAN(0.99664719*TAN($A$10*input!$E$2))</f>
        <v>0.871010436227447</v>
      </c>
      <c r="AW176" s="54" t="n">
        <f aca="false">COS(AV176)</f>
        <v>0.644053912545845</v>
      </c>
      <c r="AX176" s="54" t="n">
        <f aca="false">0.99664719*SIN(AV176)</f>
        <v>0.762415269897027</v>
      </c>
      <c r="AY176" s="54" t="n">
        <f aca="false">6378.14/AU176</f>
        <v>0.0160761712031453</v>
      </c>
      <c r="AZ176" s="55" t="n">
        <f aca="false">M176-15*AH176</f>
        <v>252.778992954423</v>
      </c>
      <c r="BA176" s="56" t="n">
        <f aca="false">COS($A$10*AG176)*SIN($A$10*AZ176)</f>
        <v>-0.93342732795444</v>
      </c>
      <c r="BB176" s="56" t="n">
        <f aca="false">COS($A$10*AG176)*COS($A$10*AZ176)-AW176*AY176</f>
        <v>-0.299673015990044</v>
      </c>
      <c r="BC176" s="56" t="n">
        <f aca="false">SIN($A$10*AG176)-AX176*AY176</f>
        <v>0.199893899504363</v>
      </c>
      <c r="BD176" s="57" t="n">
        <f aca="false">SQRT(BA176^2+BB176^2+BC176^2)</f>
        <v>1.000523894839</v>
      </c>
      <c r="BE176" s="58" t="n">
        <f aca="false">AU176*BD176</f>
        <v>396952.818801773</v>
      </c>
    </row>
    <row r="177" customFormat="false" ht="15" hidden="false" customHeight="false" outlineLevel="0" collapsed="false">
      <c r="D177" s="41" t="n">
        <f aca="false">K177-INT(275*E177/9)+IF($A$8="common year",2,1)*INT((E177+9)/12)+30</f>
        <v>25</v>
      </c>
      <c r="E177" s="41" t="n">
        <f aca="false">IF(K177&lt;32,1,INT(9*(IF($A$8="common year",2,1)+K177)/275+0.98))</f>
        <v>6</v>
      </c>
      <c r="F177" s="42" t="n">
        <f aca="false">AM177</f>
        <v>-4.56902686017175</v>
      </c>
      <c r="G177" s="60" t="n">
        <f aca="false">F177+1.02/(TAN($A$10*(F177+10.3/(F177+5.11)))*60)</f>
        <v>-4.50315395738687</v>
      </c>
      <c r="H177" s="43" t="n">
        <f aca="false">100*(1+COS($A$10*AQ177))/2</f>
        <v>14.7635670583118</v>
      </c>
      <c r="I177" s="43" t="n">
        <f aca="false">IF(AI177&gt;180,AT177-180,AT177+180)</f>
        <v>57.8943725171579</v>
      </c>
      <c r="J177" s="61" t="n">
        <f aca="false">$J$2+K176</f>
        <v>2459755.5</v>
      </c>
      <c r="K177" s="21" t="n">
        <v>176</v>
      </c>
      <c r="L177" s="62" t="n">
        <f aca="false">(J177-2451545)/36525</f>
        <v>0.224791238877481</v>
      </c>
      <c r="M177" s="63" t="n">
        <f aca="false">MOD(280.46061837+360.98564736629*(J177-2451545)+0.000387933*L177^2-L177^3/38710000+$B$7,360)</f>
        <v>288.118338895962</v>
      </c>
      <c r="N177" s="30" t="n">
        <f aca="false">0.606433+1336.855225*L177 - INT(0.606433+1336.855225*L177)</f>
        <v>0.11977522758383</v>
      </c>
      <c r="O177" s="35" t="n">
        <f aca="false">22640*SIN(P177)-4586*SIN(P177-2*R177)+2370*SIN(2*R177)+769*SIN(2*P177)-668*SIN(Q177)-412*SIN(2*S177)-212*SIN(2*P177-2*R177)-206*SIN(P177+Q177-2*R177)+192*SIN(P177+2*R177)-165*SIN(Q177-2*R177)-125*SIN(R177)-110*SIN(P177+Q177)+148*SIN(P177-Q177)-55*SIN(2*S177-2*R177)</f>
        <v>18901.3351893111</v>
      </c>
      <c r="P177" s="32" t="n">
        <f aca="false">2*PI()*(0.374897+1325.55241*L177 - INT(0.374897+1325.55241*L177))</f>
        <v>2.1831897532092</v>
      </c>
      <c r="Q177" s="36" t="n">
        <f aca="false">2*PI()*(0.993133+99.997361*L177 - INT(0.993133+99.997361*L177))</f>
        <v>2.9635502014938</v>
      </c>
      <c r="R177" s="36" t="n">
        <f aca="false">2*PI()*(0.827361+1236.853086*L177 - INT(0.827361+1236.853086*L177))</f>
        <v>5.41044151471038</v>
      </c>
      <c r="S177" s="36" t="n">
        <f aca="false">2*PI()*(0.259086+1342.227825*L177 - INT(0.259086+1342.227825*L177))</f>
        <v>6.15841153617869</v>
      </c>
      <c r="T177" s="36" t="n">
        <f aca="false">S177+(O177+412*SIN(2*S177)+541*SIN(Q177))/206264.8062</f>
        <v>6.25001901214698</v>
      </c>
      <c r="U177" s="36" t="n">
        <f aca="false">S177-2*R177</f>
        <v>-4.66247149324206</v>
      </c>
      <c r="V177" s="34" t="n">
        <f aca="false">-526*SIN(U177)+44*SIN(P177+U177)-31*SIN(-P177+U177)-23*SIN(Q177+U177)+11*SIN(-Q177+U177)-25*SIN(-2*P177+S177)+21*SIN(-P177+S177)</f>
        <v>-563.712964384265</v>
      </c>
      <c r="W177" s="36" t="n">
        <f aca="false">2*PI()*(N177+O177/1296000-INT(N177+O177/1296000))</f>
        <v>0.844206209028962</v>
      </c>
      <c r="X177" s="35" t="n">
        <f aca="false">W177*180/PI()</f>
        <v>48.3694528160985</v>
      </c>
      <c r="Y177" s="36" t="n">
        <f aca="false">(18520*SIN(T177)+V177)/206264.8062</f>
        <v>-0.00571033015924402</v>
      </c>
      <c r="Z177" s="36" t="n">
        <f aca="false">Y177*180/PI()</f>
        <v>-0.32717781775095</v>
      </c>
      <c r="AA177" s="36" t="n">
        <f aca="false">COS(Y177)*COS(W177)</f>
        <v>0.664313974950889</v>
      </c>
      <c r="AB177" s="36" t="n">
        <f aca="false">COS(Y177)*SIN(W177)</f>
        <v>0.747431826435592</v>
      </c>
      <c r="AC177" s="36" t="n">
        <f aca="false">SIN(Y177)</f>
        <v>-0.00571029912567687</v>
      </c>
      <c r="AD177" s="36" t="n">
        <f aca="false">COS($A$10*(23.4393-46.815*L177/3600))*AB177-SIN($A$10*(23.4393-46.815*L177/3600))*AC177</f>
        <v>0.688041575201417</v>
      </c>
      <c r="AE177" s="36" t="n">
        <f aca="false">SIN($A$10*(23.4393-46.815*L177/3600))*AB177+COS($A$10*(23.4393-46.815*L177/3600))*AC177</f>
        <v>0.292037212490639</v>
      </c>
      <c r="AF177" s="36" t="n">
        <f aca="false">SQRT(1-AE177*AE177)</f>
        <v>0.956406956541355</v>
      </c>
      <c r="AG177" s="35" t="n">
        <f aca="false">ATAN(AE177/AF177)/$A$10</f>
        <v>16.979960395643</v>
      </c>
      <c r="AH177" s="36" t="n">
        <f aca="false">IF(24*ATAN(AD177/(AA177+AF177))/PI()&gt;0,24*ATAN(AD177/(AA177+AF177))/PI(),24*ATAN(AD177/(AA177+AF177))/PI()+24)</f>
        <v>3.06701156244193</v>
      </c>
      <c r="AI177" s="63" t="n">
        <f aca="false">IF(M177-15*AH177&gt;0,M177-15*AH177,360+M177-15*AH177)</f>
        <v>242.113165459333</v>
      </c>
      <c r="AJ177" s="32" t="n">
        <f aca="false">0.950724+0.051818*COS(P177)+0.009531*COS(2*R177-P177)+0.007843*COS(2*R177)+0.002824*COS(2*P177)+0.000857*COS(2*R177+P177)+0.000533*COS(2*R177-Q177)*(1-0.002495*(J177-2415020)/36525)+0.000401*COS(2*R177-Q177-P177)*(1-0.002495*(J177-2415020)/36525)+0.00032*COS(P177-Q177)*(1-0.002495*(J177-2415020)/36525)-0.000271*COS(R177)</f>
        <v>0.913043489076464</v>
      </c>
      <c r="AK177" s="36" t="n">
        <f aca="false">ASIN(COS($A$10*$B$5)*COS($A$10*AG177)*COS($A$10*AI177)+SIN($A$10*$B$5)*SIN($A$10*AG177))/$A$10</f>
        <v>-3.65963509010746</v>
      </c>
      <c r="AL177" s="32" t="n">
        <f aca="false">ASIN((0.9983271+0.0016764*COS($A$10*2*$B$5))*COS($A$10*AK177)*SIN($A$10*AJ177))/$A$10</f>
        <v>0.909391770064289</v>
      </c>
      <c r="AM177" s="32" t="n">
        <f aca="false">AK177-AL177</f>
        <v>-4.56902686017175</v>
      </c>
      <c r="AN177" s="35" t="n">
        <f aca="false"> MOD(280.4664567 + 360007.6982779*L177/10 + 0.03032028*L177^2/100 + L177^3/49931000,360)</f>
        <v>93.1241221533583</v>
      </c>
      <c r="AO177" s="32" t="n">
        <f aca="false"> AN177 + (1.9146 - 0.004817*L177 - 0.000014*L177^2)*SIN(Q177)+ (0.019993 - 0.000101*L177)*SIN(2*Q177)+ 0.00029*SIN(3*Q177)</f>
        <v>93.456198098212</v>
      </c>
      <c r="AP177" s="32" t="n">
        <f aca="false">ACOS(COS(W177-$A$10*AO177)*COS(Y177))/$A$10</f>
        <v>45.0876765944117</v>
      </c>
      <c r="AQ177" s="34" t="n">
        <f aca="false">180 - AP177 -0.1468*(1-0.0549*SIN(Q177))*SIN($A$10*AP177)/(1-0.0167*SIN($A$10*AO177))</f>
        <v>134.80762697653</v>
      </c>
      <c r="AR177" s="64" t="n">
        <f aca="false">SIN($A$10*AI177)</f>
        <v>-0.883873127956231</v>
      </c>
      <c r="AS177" s="64" t="n">
        <f aca="false">COS($A$10*AI177)*SIN($A$10*$B$5) - TAN($A$10*AG177)*COS($A$10*$B$5)</f>
        <v>-0.55457354872648</v>
      </c>
      <c r="AT177" s="24" t="n">
        <f aca="false">IF(OR(AND(AR177*AS177&gt;0), AND(AR177&lt;0,AS177&gt;0)), MOD(ATAN2(AS177,AR177)/$A$10+360,360),  ATAN2(AS177,AR177)/$A$10)</f>
        <v>237.894372517158</v>
      </c>
      <c r="AU177" s="39" t="n">
        <f aca="false"> 385000.56 + (-20905355*COS(P177) - 3699111*COS(2*R177-P177) - 2955968*COS(2*R177) - 569925*COS(2*P177) + (1-0.002516*L177)*48888*COS(Q177) - 3149*COS(2*S177)  +246158*COS(2*R177-2*P177) -(1 - 0.002516*L177)*152138*COS(2*R177-Q177-P177) -170733*COS(2*R177+P177) -(1 - 0.002516*L177)*204586*COS(2*R177-Q177) -(1 - 0.002516*L177)*129620*COS(Q177-P177)  + 108743*COS(R177) +(1-0.002516*L177)*104755*COS(Q177+P177) +10321*COS(2*R177-2*S177) +79661*COS(P177-2*S177) -34782*COS(4*R177-P177) -23210*COS(3*P177)  -21636*COS(4*R177-2*P177) +(1 - 0.002516*L177)*24208*COS(2*R177+Q177-P177) +(1 - 0.002516*L177)*30824*COS(2*R177+Q177) -8379*COS(R177-P177) -(1 - 0.002516*L177)*16675*COS(R177+Q177)  -(1 - 0.002516*L177)*12831*COS(2*R177-Q177+P177) -10445*COS(2*R177+2*P177) -11650*COS(4*R177) +14403*COS(2*R177-3*P177) -(1-0.002516*L177)*7003*COS(Q177-2*P177)  + (1 - 0.002516*L177)*10056*COS(2*R177-Q177-2*P177) +6322*COS(R177+P177) -(1 - 0.002516*L177)*(1-0.002516*L177)*9884*COS(2*R177-2*Q177) +(1-0.002516*L177)*5751*COS(Q177+2*P177) - (1-0.002516*L177)^2*4950*COS(2*R177-2*Q177-P177)  +4130*COS(2*R177+P177-2*S177) -(1-0.002516*L177)*3958*COS(4*R177-Q177-P177) +3258*COS(3*R177-P177) +(1 - 0.002516*L177)*2616*COS(2*R177+Q177+P177) -(1 - 0.002516*L177)*1897*COS(4*R177-Q177-2*P177)  -(1-0.002516*L177)^2*2117*COS(2*Q177-P177) +(1-0.002516*L177)^2*2354*COS(2*R177+2*Q177-P177) -1423*COS(4*R177+P177) -1117*COS(4*P177) -(1-0.002516*L177)*1571*COS(4*R177-Q177)  -1739*COS(R177-2*P177) -4421*COS(2*P177-2*S177) +(1-0.002516*L177)^2*1165*COS(2*Q177+P177) +8752*COS(2*R177-P177-2*S177))/1000</f>
        <v>400217.424431557</v>
      </c>
      <c r="AV177" s="54" t="n">
        <f aca="false">ATAN(0.99664719*TAN($A$10*input!$E$2))</f>
        <v>0.871010436227447</v>
      </c>
      <c r="AW177" s="54" t="n">
        <f aca="false">COS(AV177)</f>
        <v>0.644053912545845</v>
      </c>
      <c r="AX177" s="54" t="n">
        <f aca="false">0.99664719*SIN(AV177)</f>
        <v>0.762415269897027</v>
      </c>
      <c r="AY177" s="54" t="n">
        <f aca="false">6378.14/AU177</f>
        <v>0.0159366874369828</v>
      </c>
      <c r="AZ177" s="55" t="n">
        <f aca="false">M177-15*AH177</f>
        <v>242.113165459333</v>
      </c>
      <c r="BA177" s="56" t="n">
        <f aca="false">COS($A$10*AG177)*SIN($A$10*AZ177)</f>
        <v>-0.845342408277307</v>
      </c>
      <c r="BB177" s="56" t="n">
        <f aca="false">COS($A$10*AG177)*COS($A$10*AZ177)-AW177*AY177</f>
        <v>-0.457601183943261</v>
      </c>
      <c r="BC177" s="56" t="n">
        <f aca="false">SIN($A$10*AG177)-AX177*AY177</f>
        <v>0.279886838637107</v>
      </c>
      <c r="BD177" s="57" t="n">
        <f aca="false">SQRT(BA177^2+BB177^2+BC177^2)</f>
        <v>1.00116895338431</v>
      </c>
      <c r="BE177" s="58" t="n">
        <f aca="false">AU177*BD177</f>
        <v>400685.259944304</v>
      </c>
    </row>
    <row r="178" customFormat="false" ht="15" hidden="false" customHeight="false" outlineLevel="0" collapsed="false">
      <c r="D178" s="41" t="n">
        <f aca="false">K178-INT(275*E178/9)+IF($A$8="common year",2,1)*INT((E178+9)/12)+30</f>
        <v>26</v>
      </c>
      <c r="E178" s="41" t="n">
        <f aca="false">IF(K178&lt;32,1,INT(9*(IF($A$8="common year",2,1)+K178)/275+0.98))</f>
        <v>6</v>
      </c>
      <c r="F178" s="42" t="n">
        <f aca="false">AM178</f>
        <v>-6.81741332596476</v>
      </c>
      <c r="G178" s="60" t="n">
        <f aca="false">F178+1.02/(TAN($A$10*(F178+10.3/(F178+5.11)))*60)</f>
        <v>-6.89193843481782</v>
      </c>
      <c r="H178" s="43" t="n">
        <f aca="false">100*(1+COS($A$10*AQ178))/2</f>
        <v>8.60841314222786</v>
      </c>
      <c r="I178" s="43" t="n">
        <f aca="false">IF(AI178&gt;180,AT178-180,AT178+180)</f>
        <v>46.9038303573232</v>
      </c>
      <c r="J178" s="61" t="n">
        <f aca="false">$J$2+K177</f>
        <v>2459756.5</v>
      </c>
      <c r="K178" s="21" t="n">
        <v>177</v>
      </c>
      <c r="L178" s="62" t="n">
        <f aca="false">(J178-2451545)/36525</f>
        <v>0.224818617385353</v>
      </c>
      <c r="M178" s="63" t="n">
        <f aca="false">MOD(280.46061837+360.98564736629*(J178-2451545)+0.000387933*L178^2-L178^3/38710000+$B$7,360)</f>
        <v>289.103986267466</v>
      </c>
      <c r="N178" s="30" t="n">
        <f aca="false">0.606433+1336.855225*L178 - INT(0.606433+1336.855225*L178)</f>
        <v>0.156376328884335</v>
      </c>
      <c r="O178" s="35" t="n">
        <f aca="false">22640*SIN(P178)-4586*SIN(P178-2*R178)+2370*SIN(2*R178)+769*SIN(2*P178)-668*SIN(Q178)-412*SIN(2*S178)-212*SIN(2*P178-2*R178)-206*SIN(P178+Q178-2*R178)+192*SIN(P178+2*R178)-165*SIN(Q178-2*R178)-125*SIN(R178)-110*SIN(P178+Q178)+148*SIN(P178-Q178)-55*SIN(2*S178-2*R178)</f>
        <v>14693.2783596309</v>
      </c>
      <c r="P178" s="32" t="n">
        <f aca="false">2*PI()*(0.374897+1325.55241*L178 - INT(0.374897+1325.55241*L178))</f>
        <v>2.41121689698501</v>
      </c>
      <c r="Q178" s="36" t="n">
        <f aca="false">2*PI()*(0.993133+99.997361*L178 - INT(0.993133+99.997361*L178))</f>
        <v>2.98075217136079</v>
      </c>
      <c r="R178" s="36" t="n">
        <f aca="false">2*PI()*(0.827361+1236.853086*L178 - INT(0.827361+1236.853086*L178))</f>
        <v>5.6232102248294</v>
      </c>
      <c r="S178" s="36" t="n">
        <f aca="false">2*PI()*(0.259086+1342.227825*L178 - INT(0.259086+1342.227825*L178))</f>
        <v>0.106121948340112</v>
      </c>
      <c r="T178" s="36" t="n">
        <f aca="false">S178+(O178+412*SIN(2*S178)+541*SIN(Q178))/206264.8062</f>
        <v>0.178197781745785</v>
      </c>
      <c r="U178" s="36" t="n">
        <f aca="false">S178-2*R178</f>
        <v>-11.1402985013187</v>
      </c>
      <c r="V178" s="34" t="n">
        <f aca="false">-526*SIN(U178)+44*SIN(P178+U178)-31*SIN(-P178+U178)-23*SIN(Q178+U178)+11*SIN(-Q178+U178)-25*SIN(-2*P178+S178)+21*SIN(-P178+S178)</f>
        <v>-552.519738719876</v>
      </c>
      <c r="W178" s="36" t="n">
        <f aca="false">2*PI()*(N178+O178/1296000-INT(N178+O178/1296000))</f>
        <v>1.05377647572773</v>
      </c>
      <c r="X178" s="35" t="n">
        <f aca="false">W178*180/PI()</f>
        <v>60.3769446093691</v>
      </c>
      <c r="Y178" s="36" t="n">
        <f aca="false">(18520*SIN(T178)+V178)/206264.8062</f>
        <v>0.0132366971029292</v>
      </c>
      <c r="Z178" s="36" t="n">
        <f aca="false">Y178*180/PI()</f>
        <v>0.758406878690889</v>
      </c>
      <c r="AA178" s="36" t="n">
        <f aca="false">COS(Y178)*COS(W178)</f>
        <v>0.494248402973945</v>
      </c>
      <c r="AB178" s="36" t="n">
        <f aca="false">COS(Y178)*SIN(W178)</f>
        <v>0.869219946987031</v>
      </c>
      <c r="AC178" s="36" t="n">
        <f aca="false">SIN(Y178)</f>
        <v>0.0132363105723675</v>
      </c>
      <c r="AD178" s="36" t="n">
        <f aca="false">COS($A$10*(23.4393-46.815*L178/3600))*AB178-SIN($A$10*(23.4393-46.815*L178/3600))*AC178</f>
        <v>0.792246813057121</v>
      </c>
      <c r="AE178" s="36" t="n">
        <f aca="false">SIN($A$10*(23.4393-46.815*L178/3600))*AB178+COS($A$10*(23.4393-46.815*L178/3600))*AC178</f>
        <v>0.357859614036762</v>
      </c>
      <c r="AF178" s="36" t="n">
        <f aca="false">SQRT(1-AE178*AE178)</f>
        <v>0.933775399462558</v>
      </c>
      <c r="AG178" s="35" t="n">
        <f aca="false">ATAN(AE178/AF178)/$A$10</f>
        <v>20.9688056469029</v>
      </c>
      <c r="AH178" s="36" t="n">
        <f aca="false">IF(24*ATAN(AD178/(AA178+AF178))/PI()&gt;0,24*ATAN(AD178/(AA178+AF178))/PI(),24*ATAN(AD178/(AA178+AF178))/PI()+24)</f>
        <v>3.86945005073086</v>
      </c>
      <c r="AI178" s="63" t="n">
        <f aca="false">IF(M178-15*AH178&gt;0,M178-15*AH178,360+M178-15*AH178)</f>
        <v>231.062235506503</v>
      </c>
      <c r="AJ178" s="32" t="n">
        <f aca="false">0.950724+0.051818*COS(P178)+0.009531*COS(2*R178-P178)+0.007843*COS(2*R178)+0.002824*COS(2*P178)+0.000857*COS(2*R178+P178)+0.000533*COS(2*R178-Q178)*(1-0.002495*(J178-2415020)/36525)+0.000401*COS(2*R178-Q178-P178)*(1-0.002495*(J178-2415020)/36525)+0.00032*COS(P178-Q178)*(1-0.002495*(J178-2415020)/36525)-0.000271*COS(R178)</f>
        <v>0.907059467892487</v>
      </c>
      <c r="AK178" s="36" t="n">
        <f aca="false">ASIN(COS($A$10*$B$5)*COS($A$10*AG178)*COS($A$10*AI178)+SIN($A$10*$B$5)*SIN($A$10*AG178))/$A$10</f>
        <v>-5.91695887811175</v>
      </c>
      <c r="AL178" s="32" t="n">
        <f aca="false">ASIN((0.9983271+0.0016764*COS($A$10*2*$B$5))*COS($A$10*AK178)*SIN($A$10*AJ178))/$A$10</f>
        <v>0.900454447853011</v>
      </c>
      <c r="AM178" s="32" t="n">
        <f aca="false">AK178-AL178</f>
        <v>-6.81741332596476</v>
      </c>
      <c r="AN178" s="35" t="n">
        <f aca="false"> MOD(280.4664567 + 360007.6982779*L178/10 + 0.03032028*L178^2/100 + L178^3/49931000,360)</f>
        <v>94.1097695171939</v>
      </c>
      <c r="AO178" s="32" t="n">
        <f aca="false"> AN178 + (1.9146 - 0.004817*L178 - 0.000014*L178^2)*SIN(Q178)+ (0.019993 - 0.000101*L178)*SIN(2*Q178)+ 0.00029*SIN(3*Q178)</f>
        <v>94.4100358568522</v>
      </c>
      <c r="AP178" s="32" t="n">
        <f aca="false">ACOS(COS(W178-$A$10*AO178)*COS(Y178))/$A$10</f>
        <v>34.040522730559</v>
      </c>
      <c r="AQ178" s="34" t="n">
        <f aca="false">180 - AP178 -0.1468*(1-0.0549*SIN(Q178))*SIN($A$10*AP178)/(1-0.0167*SIN($A$10*AO178))</f>
        <v>145.876644990828</v>
      </c>
      <c r="AR178" s="64" t="n">
        <f aca="false">SIN($A$10*AI178)</f>
        <v>-0.777829079794108</v>
      </c>
      <c r="AS178" s="64" t="n">
        <f aca="false">COS($A$10*AI178)*SIN($A$10*$B$5) - TAN($A$10*AG178)*COS($A$10*$B$5)</f>
        <v>-0.727782049916498</v>
      </c>
      <c r="AT178" s="24" t="n">
        <f aca="false">IF(OR(AND(AR178*AS178&gt;0), AND(AR178&lt;0,AS178&gt;0)), MOD(ATAN2(AS178,AR178)/$A$10+360,360),  ATAN2(AS178,AR178)/$A$10)</f>
        <v>226.903830357323</v>
      </c>
      <c r="AU178" s="39" t="n">
        <f aca="false"> 385000.56 + (-20905355*COS(P178) - 3699111*COS(2*R178-P178) - 2955968*COS(2*R178) - 569925*COS(2*P178) + (1-0.002516*L178)*48888*COS(Q178) - 3149*COS(2*S178)  +246158*COS(2*R178-2*P178) -(1 - 0.002516*L178)*152138*COS(2*R178-Q178-P178) -170733*COS(2*R178+P178) -(1 - 0.002516*L178)*204586*COS(2*R178-Q178) -(1 - 0.002516*L178)*129620*COS(Q178-P178)  + 108743*COS(R178) +(1-0.002516*L178)*104755*COS(Q178+P178) +10321*COS(2*R178-2*S178) +79661*COS(P178-2*S178) -34782*COS(4*R178-P178) -23210*COS(3*P178)  -21636*COS(4*R178-2*P178) +(1 - 0.002516*L178)*24208*COS(2*R178+Q178-P178) +(1 - 0.002516*L178)*30824*COS(2*R178+Q178) -8379*COS(R178-P178) -(1 - 0.002516*L178)*16675*COS(R178+Q178)  -(1 - 0.002516*L178)*12831*COS(2*R178-Q178+P178) -10445*COS(2*R178+2*P178) -11650*COS(4*R178) +14403*COS(2*R178-3*P178) -(1-0.002516*L178)*7003*COS(Q178-2*P178)  + (1 - 0.002516*L178)*10056*COS(2*R178-Q178-2*P178) +6322*COS(R178+P178) -(1 - 0.002516*L178)*(1-0.002516*L178)*9884*COS(2*R178-2*Q178) +(1-0.002516*L178)*5751*COS(Q178+2*P178) - (1-0.002516*L178)^2*4950*COS(2*R178-2*Q178-P178)  +4130*COS(2*R178+P178-2*S178) -(1-0.002516*L178)*3958*COS(4*R178-Q178-P178) +3258*COS(3*R178-P178) +(1 - 0.002516*L178)*2616*COS(2*R178+Q178+P178) -(1 - 0.002516*L178)*1897*COS(4*R178-Q178-2*P178)  -(1-0.002516*L178)^2*2117*COS(2*Q178-P178) +(1-0.002516*L178)^2*2354*COS(2*R178+2*Q178-P178) -1423*COS(4*R178+P178) -1117*COS(4*P178) -(1-0.002516*L178)*1571*COS(4*R178-Q178)  -1739*COS(R178-2*P178) -4421*COS(2*P178-2*S178) +(1-0.002516*L178)^2*1165*COS(2*Q178+P178) +8752*COS(2*R178-P178-2*S178))/1000</f>
        <v>402905.307631249</v>
      </c>
      <c r="AV178" s="54" t="n">
        <f aca="false">ATAN(0.99664719*TAN($A$10*input!$E$2))</f>
        <v>0.871010436227447</v>
      </c>
      <c r="AW178" s="54" t="n">
        <f aca="false">COS(AV178)</f>
        <v>0.644053912545845</v>
      </c>
      <c r="AX178" s="54" t="n">
        <f aca="false">0.99664719*SIN(AV178)</f>
        <v>0.762415269897027</v>
      </c>
      <c r="AY178" s="54" t="n">
        <f aca="false">6378.14/AU178</f>
        <v>0.0158303697647922</v>
      </c>
      <c r="AZ178" s="55" t="n">
        <f aca="false">M178-15*AH178</f>
        <v>231.062235506503</v>
      </c>
      <c r="BA178" s="56" t="n">
        <f aca="false">COS($A$10*AG178)*SIN($A$10*AZ178)</f>
        <v>-0.726317659698337</v>
      </c>
      <c r="BB178" s="56" t="n">
        <f aca="false">COS($A$10*AG178)*COS($A$10*AZ178)-AW178*AY178</f>
        <v>-0.597050920712121</v>
      </c>
      <c r="BC178" s="56" t="n">
        <f aca="false">SIN($A$10*AG178)-AX178*AY178</f>
        <v>0.345790298399968</v>
      </c>
      <c r="BD178" s="57" t="n">
        <f aca="false">SQRT(BA178^2+BB178^2+BC178^2)</f>
        <v>1.00178744011911</v>
      </c>
      <c r="BE178" s="58" t="n">
        <f aca="false">AU178*BD178</f>
        <v>403625.476742311</v>
      </c>
    </row>
    <row r="179" customFormat="false" ht="15" hidden="false" customHeight="false" outlineLevel="0" collapsed="false">
      <c r="D179" s="41" t="n">
        <f aca="false">K179-INT(275*E179/9)+IF($A$8="common year",2,1)*INT((E179+9)/12)+30</f>
        <v>27</v>
      </c>
      <c r="E179" s="41" t="n">
        <f aca="false">IF(K179&lt;32,1,INT(9*(IF($A$8="common year",2,1)+K179)/275+0.98))</f>
        <v>6</v>
      </c>
      <c r="F179" s="42" t="n">
        <f aca="false">AM179</f>
        <v>-8.96722345634148</v>
      </c>
      <c r="G179" s="60" t="n">
        <f aca="false">F179+1.02/(TAN($A$10*(F179+10.3/(F179+5.11)))*60)</f>
        <v>-9.0497664084173</v>
      </c>
      <c r="H179" s="43" t="n">
        <f aca="false">100*(1+COS($A$10*AQ179))/2</f>
        <v>4.04779836528184</v>
      </c>
      <c r="I179" s="43" t="n">
        <f aca="false">IF(AI179&gt;180,AT179-180,AT179+180)</f>
        <v>35.9703586101449</v>
      </c>
      <c r="J179" s="61" t="n">
        <f aca="false">$J$2+K178</f>
        <v>2459757.5</v>
      </c>
      <c r="K179" s="21" t="n">
        <v>178</v>
      </c>
      <c r="L179" s="62" t="n">
        <f aca="false">(J179-2451545)/36525</f>
        <v>0.224845995893224</v>
      </c>
      <c r="M179" s="63" t="n">
        <f aca="false">MOD(280.46061837+360.98564736629*(J179-2451545)+0.000387933*L179^2-L179^3/38710000+$B$7,360)</f>
        <v>290.089633638505</v>
      </c>
      <c r="N179" s="30" t="n">
        <f aca="false">0.606433+1336.855225*L179 - INT(0.606433+1336.855225*L179)</f>
        <v>0.192977430184783</v>
      </c>
      <c r="O179" s="35" t="n">
        <f aca="false">22640*SIN(P179)-4586*SIN(P179-2*R179)+2370*SIN(2*R179)+769*SIN(2*P179)-668*SIN(Q179)-412*SIN(2*S179)-212*SIN(2*P179-2*R179)-206*SIN(P179+Q179-2*R179)+192*SIN(P179+2*R179)-165*SIN(Q179-2*R179)-125*SIN(R179)-110*SIN(P179+Q179)+148*SIN(P179-Q179)-55*SIN(2*S179-2*R179)</f>
        <v>10090.7570856707</v>
      </c>
      <c r="P179" s="32" t="n">
        <f aca="false">2*PI()*(0.374897+1325.55241*L179 - INT(0.374897+1325.55241*L179))</f>
        <v>2.63924404076083</v>
      </c>
      <c r="Q179" s="36" t="n">
        <f aca="false">2*PI()*(0.993133+99.997361*L179 - INT(0.993133+99.997361*L179))</f>
        <v>2.99795414122777</v>
      </c>
      <c r="R179" s="36" t="n">
        <f aca="false">2*PI()*(0.827361+1236.853086*L179 - INT(0.827361+1236.853086*L179))</f>
        <v>5.83597893494842</v>
      </c>
      <c r="S179" s="36" t="n">
        <f aca="false">2*PI()*(0.259086+1342.227825*L179 - INT(0.259086+1342.227825*L179))</f>
        <v>0.337017667681116</v>
      </c>
      <c r="T179" s="36" t="n">
        <f aca="false">S179+(O179+412*SIN(2*S179)+541*SIN(Q179))/206264.8062</f>
        <v>0.387561170782302</v>
      </c>
      <c r="U179" s="36" t="n">
        <f aca="false">S179-2*R179</f>
        <v>-11.3349402022157</v>
      </c>
      <c r="V179" s="34" t="n">
        <f aca="false">-526*SIN(U179)+44*SIN(P179+U179)-31*SIN(-P179+U179)-23*SIN(Q179+U179)+11*SIN(-Q179+U179)-25*SIN(-2*P179+S179)+21*SIN(-P179+S179)</f>
        <v>-525.11964364892</v>
      </c>
      <c r="W179" s="36" t="n">
        <f aca="false">2*PI()*(N179+O179/1296000-INT(N179+O179/1296000))</f>
        <v>1.26143432483316</v>
      </c>
      <c r="X179" s="35" t="n">
        <f aca="false">W179*180/PI()</f>
        <v>72.2748629458748</v>
      </c>
      <c r="Y179" s="36" t="n">
        <f aca="false">(18520*SIN(T179)+V179)/206264.8062</f>
        <v>0.0313876785356569</v>
      </c>
      <c r="Z179" s="36" t="n">
        <f aca="false">Y179*180/PI()</f>
        <v>1.7983815088065</v>
      </c>
      <c r="AA179" s="36" t="n">
        <f aca="false">COS(Y179)*COS(W179)</f>
        <v>0.304301029280892</v>
      </c>
      <c r="AB179" s="36" t="n">
        <f aca="false">COS(Y179)*SIN(W179)</f>
        <v>0.95205883258492</v>
      </c>
      <c r="AC179" s="36" t="n">
        <f aca="false">SIN(Y179)</f>
        <v>0.0313825250040418</v>
      </c>
      <c r="AD179" s="36" t="n">
        <f aca="false">COS($A$10*(23.4393-46.815*L179/3600))*AB179-SIN($A$10*(23.4393-46.815*L179/3600))*AC179</f>
        <v>0.861034380721064</v>
      </c>
      <c r="AE179" s="36" t="n">
        <f aca="false">SIN($A$10*(23.4393-46.815*L179/3600))*AB179+COS($A$10*(23.4393-46.815*L179/3600))*AC179</f>
        <v>0.407456352011947</v>
      </c>
      <c r="AF179" s="36" t="n">
        <f aca="false">SQRT(1-AE179*AE179)</f>
        <v>0.91322468276165</v>
      </c>
      <c r="AG179" s="35" t="n">
        <f aca="false">ATAN(AE179/AF179)/$A$10</f>
        <v>24.0451466569038</v>
      </c>
      <c r="AH179" s="36" t="n">
        <f aca="false">IF(24*ATAN(AD179/(AA179+AF179))/PI()&gt;0,24*ATAN(AD179/(AA179+AF179))/PI(),24*ATAN(AD179/(AA179+AF179))/PI()+24)</f>
        <v>4.70239418769795</v>
      </c>
      <c r="AI179" s="63" t="n">
        <f aca="false">IF(M179-15*AH179&gt;0,M179-15*AH179,360+M179-15*AH179)</f>
        <v>219.553720823036</v>
      </c>
      <c r="AJ179" s="32" t="n">
        <f aca="false">0.950724+0.051818*COS(P179)+0.009531*COS(2*R179-P179)+0.007843*COS(2*R179)+0.002824*COS(2*P179)+0.000857*COS(2*R179+P179)+0.000533*COS(2*R179-Q179)*(1-0.002495*(J179-2415020)/36525)+0.000401*COS(2*R179-Q179-P179)*(1-0.002495*(J179-2415020)/36525)+0.00032*COS(P179-Q179)*(1-0.002495*(J179-2415020)/36525)-0.000271*COS(R179)</f>
        <v>0.902829214810163</v>
      </c>
      <c r="AK179" s="36" t="n">
        <f aca="false">ASIN(COS($A$10*$B$5)*COS($A$10*AG179)*COS($A$10*AI179)+SIN($A$10*$B$5)*SIN($A$10*AG179))/$A$10</f>
        <v>-8.07510243021961</v>
      </c>
      <c r="AL179" s="32" t="n">
        <f aca="false">ASIN((0.9983271+0.0016764*COS($A$10*2*$B$5))*COS($A$10*AK179)*SIN($A$10*AJ179))/$A$10</f>
        <v>0.892121026121869</v>
      </c>
      <c r="AM179" s="32" t="n">
        <f aca="false">AK179-AL179</f>
        <v>-8.96722345634148</v>
      </c>
      <c r="AN179" s="35" t="n">
        <f aca="false"> MOD(280.4664567 + 360007.6982779*L179/10 + 0.03032028*L179^2/100 + L179^3/49931000,360)</f>
        <v>95.0954168810313</v>
      </c>
      <c r="AO179" s="32" t="n">
        <f aca="false"> AN179 + (1.9146 - 0.004817*L179 - 0.000014*L179^2)*SIN(Q179)+ (0.019993 - 0.000101*L179)*SIN(2*Q179)+ 0.00029*SIN(3*Q179)</f>
        <v>95.3637900566312</v>
      </c>
      <c r="AP179" s="32" t="n">
        <f aca="false">ACOS(COS(W179-$A$10*AO179)*COS(Y179))/$A$10</f>
        <v>23.1550367700208</v>
      </c>
      <c r="AQ179" s="34" t="n">
        <f aca="false">180 - AP179 -0.1468*(1-0.0549*SIN(Q179))*SIN($A$10*AP179)/(1-0.0167*SIN($A$10*AO179))</f>
        <v>156.786723761206</v>
      </c>
      <c r="AR179" s="64" t="n">
        <f aca="false">SIN($A$10*AI179)</f>
        <v>-0.636801419834273</v>
      </c>
      <c r="AS179" s="64" t="n">
        <f aca="false">COS($A$10*AI179)*SIN($A$10*$B$5) - TAN($A$10*AG179)*COS($A$10*$B$5)</f>
        <v>-0.877436188792481</v>
      </c>
      <c r="AT179" s="24" t="n">
        <f aca="false">IF(OR(AND(AR179*AS179&gt;0), AND(AR179&lt;0,AS179&gt;0)), MOD(ATAN2(AS179,AR179)/$A$10+360,360),  ATAN2(AS179,AR179)/$A$10)</f>
        <v>215.970358610145</v>
      </c>
      <c r="AU179" s="39" t="n">
        <f aca="false"> 385000.56 + (-20905355*COS(P179) - 3699111*COS(2*R179-P179) - 2955968*COS(2*R179) - 569925*COS(2*P179) + (1-0.002516*L179)*48888*COS(Q179) - 3149*COS(2*S179)  +246158*COS(2*R179-2*P179) -(1 - 0.002516*L179)*152138*COS(2*R179-Q179-P179) -170733*COS(2*R179+P179) -(1 - 0.002516*L179)*204586*COS(2*R179-Q179) -(1 - 0.002516*L179)*129620*COS(Q179-P179)  + 108743*COS(R179) +(1-0.002516*L179)*104755*COS(Q179+P179) +10321*COS(2*R179-2*S179) +79661*COS(P179-2*S179) -34782*COS(4*R179-P179) -23210*COS(3*P179)  -21636*COS(4*R179-2*P179) +(1 - 0.002516*L179)*24208*COS(2*R179+Q179-P179) +(1 - 0.002516*L179)*30824*COS(2*R179+Q179) -8379*COS(R179-P179) -(1 - 0.002516*L179)*16675*COS(R179+Q179)  -(1 - 0.002516*L179)*12831*COS(2*R179-Q179+P179) -10445*COS(2*R179+2*P179) -11650*COS(4*R179) +14403*COS(2*R179-3*P179) -(1-0.002516*L179)*7003*COS(Q179-2*P179)  + (1 - 0.002516*L179)*10056*COS(2*R179-Q179-2*P179) +6322*COS(R179+P179) -(1 - 0.002516*L179)*(1-0.002516*L179)*9884*COS(2*R179-2*Q179) +(1-0.002516*L179)*5751*COS(Q179+2*P179) - (1-0.002516*L179)^2*4950*COS(2*R179-2*Q179-P179)  +4130*COS(2*R179+P179-2*S179) -(1-0.002516*L179)*3958*COS(4*R179-Q179-P179) +3258*COS(3*R179-P179) +(1 - 0.002516*L179)*2616*COS(2*R179+Q179+P179) -(1 - 0.002516*L179)*1897*COS(4*R179-Q179-2*P179)  -(1-0.002516*L179)^2*2117*COS(2*Q179-P179) +(1-0.002516*L179)^2*2354*COS(2*R179+2*Q179-P179) -1423*COS(4*R179+P179) -1117*COS(4*P179) -(1-0.002516*L179)*1571*COS(4*R179-Q179)  -1739*COS(R179-2*P179) -4421*COS(2*P179-2*S179) +(1-0.002516*L179)^2*1165*COS(2*Q179+P179) +8752*COS(2*R179-P179-2*S179))/1000</f>
        <v>404833.171800299</v>
      </c>
      <c r="AV179" s="54" t="n">
        <f aca="false">ATAN(0.99664719*TAN($A$10*input!$E$2))</f>
        <v>0.871010436227447</v>
      </c>
      <c r="AW179" s="54" t="n">
        <f aca="false">COS(AV179)</f>
        <v>0.644053912545845</v>
      </c>
      <c r="AX179" s="54" t="n">
        <f aca="false">0.99664719*SIN(AV179)</f>
        <v>0.762415269897027</v>
      </c>
      <c r="AY179" s="54" t="n">
        <f aca="false">6378.14/AU179</f>
        <v>0.0157549836433519</v>
      </c>
      <c r="AZ179" s="55" t="n">
        <f aca="false">M179-15*AH179</f>
        <v>219.553720823036</v>
      </c>
      <c r="BA179" s="56" t="n">
        <f aca="false">COS($A$10*AG179)*SIN($A$10*AZ179)</f>
        <v>-0.581542774610323</v>
      </c>
      <c r="BB179" s="56" t="n">
        <f aca="false">COS($A$10*AG179)*COS($A$10*AZ179)-AW179*AY179</f>
        <v>-0.714268726258653</v>
      </c>
      <c r="BC179" s="56" t="n">
        <f aca="false">SIN($A$10*AG179)-AX179*AY179</f>
        <v>0.395444511905278</v>
      </c>
      <c r="BD179" s="57" t="n">
        <f aca="false">SQRT(BA179^2+BB179^2+BC179^2)</f>
        <v>1.0023712755305</v>
      </c>
      <c r="BE179" s="58" t="n">
        <f aca="false">AU179*BD179</f>
        <v>405793.142794523</v>
      </c>
    </row>
    <row r="180" customFormat="false" ht="15" hidden="false" customHeight="false" outlineLevel="0" collapsed="false">
      <c r="D180" s="41" t="n">
        <f aca="false">K180-INT(275*E180/9)+IF($A$8="common year",2,1)*INT((E180+9)/12)+30</f>
        <v>28</v>
      </c>
      <c r="E180" s="41" t="n">
        <f aca="false">IF(K180&lt;32,1,INT(9*(IF($A$8="common year",2,1)+K180)/275+0.98))</f>
        <v>6</v>
      </c>
      <c r="F180" s="42" t="n">
        <f aca="false">AM180</f>
        <v>-10.9733872332836</v>
      </c>
      <c r="G180" s="60" t="n">
        <f aca="false">F180+1.02/(TAN($A$10*(F180+10.3/(F180+5.11)))*60)</f>
        <v>-11.0486381315251</v>
      </c>
      <c r="H180" s="43" t="n">
        <f aca="false">100*(1+COS($A$10*AQ180))/2</f>
        <v>1.1924562492921</v>
      </c>
      <c r="I180" s="43" t="n">
        <f aca="false">IF(AI180&gt;180,AT180-180,AT180+180)</f>
        <v>25.029233184272</v>
      </c>
      <c r="J180" s="61" t="n">
        <f aca="false">$J$2+K179</f>
        <v>2459758.5</v>
      </c>
      <c r="K180" s="21" t="n">
        <v>179</v>
      </c>
      <c r="L180" s="62" t="n">
        <f aca="false">(J180-2451545)/36525</f>
        <v>0.224873374401095</v>
      </c>
      <c r="M180" s="63" t="n">
        <f aca="false">MOD(280.46061837+360.98564736629*(J180-2451545)+0.000387933*L180^2-L180^3/38710000+$B$7,360)</f>
        <v>291.075281009544</v>
      </c>
      <c r="N180" s="30" t="n">
        <f aca="false">0.606433+1336.855225*L180 - INT(0.606433+1336.855225*L180)</f>
        <v>0.229578531485288</v>
      </c>
      <c r="O180" s="35" t="n">
        <f aca="false">22640*SIN(P180)-4586*SIN(P180-2*R180)+2370*SIN(2*R180)+769*SIN(2*P180)-668*SIN(Q180)-412*SIN(2*S180)-212*SIN(2*P180-2*R180)-206*SIN(P180+Q180-2*R180)+192*SIN(P180+2*R180)-165*SIN(Q180-2*R180)-125*SIN(R180)-110*SIN(P180+Q180)+148*SIN(P180-Q180)-55*SIN(2*S180-2*R180)</f>
        <v>5273.11830602324</v>
      </c>
      <c r="P180" s="32" t="n">
        <f aca="false">2*PI()*(0.374897+1325.55241*L180 - INT(0.374897+1325.55241*L180))</f>
        <v>2.86727118453665</v>
      </c>
      <c r="Q180" s="36" t="n">
        <f aca="false">2*PI()*(0.993133+99.997361*L180 - INT(0.993133+99.997361*L180))</f>
        <v>3.01515611109478</v>
      </c>
      <c r="R180" s="36" t="n">
        <f aca="false">2*PI()*(0.827361+1236.853086*L180 - INT(0.827361+1236.853086*L180))</f>
        <v>6.04874764506745</v>
      </c>
      <c r="S180" s="36" t="n">
        <f aca="false">2*PI()*(0.259086+1342.227825*L180 - INT(0.259086+1342.227825*L180))</f>
        <v>0.56791338702212</v>
      </c>
      <c r="T180" s="36" t="n">
        <f aca="false">S180+(O180+412*SIN(2*S180)+541*SIN(Q180))/206264.8062</f>
        <v>0.595620363415736</v>
      </c>
      <c r="U180" s="36" t="n">
        <f aca="false">S180-2*R180</f>
        <v>-11.5295819031128</v>
      </c>
      <c r="V180" s="34" t="n">
        <f aca="false">-526*SIN(U180)+44*SIN(P180+U180)-31*SIN(-P180+U180)-23*SIN(Q180+U180)+11*SIN(-Q180+U180)-25*SIN(-2*P180+S180)+21*SIN(-P180+S180)</f>
        <v>-483.266813606044</v>
      </c>
      <c r="W180" s="36" t="n">
        <f aca="false">2*PI()*(N180+O180/1296000-INT(N180+O180/1296000))</f>
        <v>1.46804925484092</v>
      </c>
      <c r="X180" s="35" t="n">
        <f aca="false">W180*180/PI()</f>
        <v>84.1130264197101</v>
      </c>
      <c r="Y180" s="36" t="n">
        <f aca="false">(18520*SIN(T180)+V180)/206264.8062</f>
        <v>0.0480298515789565</v>
      </c>
      <c r="Z180" s="36" t="n">
        <f aca="false">Y180*180/PI()</f>
        <v>2.75190778611396</v>
      </c>
      <c r="AA180" s="36" t="n">
        <f aca="false">COS(Y180)*COS(W180)</f>
        <v>0.102448103809291</v>
      </c>
      <c r="AB180" s="36" t="n">
        <f aca="false">COS(Y180)*SIN(W180)</f>
        <v>0.993579031942383</v>
      </c>
      <c r="AC180" s="36" t="n">
        <f aca="false">SIN(Y180)</f>
        <v>0.0480113872984066</v>
      </c>
      <c r="AD180" s="36" t="n">
        <f aca="false">COS($A$10*(23.4393-46.815*L180/3600))*AB180-SIN($A$10*(23.4393-46.815*L180/3600))*AC180</f>
        <v>0.892515456476519</v>
      </c>
      <c r="AE180" s="36" t="n">
        <f aca="false">SIN($A$10*(23.4393-46.815*L180/3600))*AB180+COS($A$10*(23.4393-46.815*L180/3600))*AC180</f>
        <v>0.439227214521587</v>
      </c>
      <c r="AF180" s="36" t="n">
        <f aca="false">SQRT(1-AE180*AE180)</f>
        <v>0.89837600926539</v>
      </c>
      <c r="AG180" s="35" t="n">
        <f aca="false">ATAN(AE180/AF180)/$A$10</f>
        <v>26.0545847780943</v>
      </c>
      <c r="AH180" s="36" t="n">
        <f aca="false">IF(24*ATAN(AD180/(AA180+AF180))/PI()&gt;0,24*ATAN(AD180/(AA180+AF180))/PI(),24*ATAN(AD180/(AA180+AF180))/PI()+24)</f>
        <v>5.56346108419861</v>
      </c>
      <c r="AI180" s="63" t="n">
        <f aca="false">IF(M180-15*AH180&gt;0,M180-15*AH180,360+M180-15*AH180)</f>
        <v>207.623364746564</v>
      </c>
      <c r="AJ180" s="32" t="n">
        <f aca="false">0.950724+0.051818*COS(P180)+0.009531*COS(2*R180-P180)+0.007843*COS(2*R180)+0.002824*COS(2*P180)+0.000857*COS(2*R180+P180)+0.000533*COS(2*R180-Q180)*(1-0.002495*(J180-2415020)/36525)+0.000401*COS(2*R180-Q180-P180)*(1-0.002495*(J180-2415020)/36525)+0.00032*COS(P180-Q180)*(1-0.002495*(J180-2415020)/36525)-0.000271*COS(R180)</f>
        <v>0.900217681806692</v>
      </c>
      <c r="AK180" s="36" t="n">
        <f aca="false">ASIN(COS($A$10*$B$5)*COS($A$10*AG180)*COS($A$10*AI180)+SIN($A$10*$B$5)*SIN($A$10*AG180))/$A$10</f>
        <v>-10.0888312540733</v>
      </c>
      <c r="AL180" s="32" t="n">
        <f aca="false">ASIN((0.9983271+0.0016764*COS($A$10*2*$B$5))*COS($A$10*AK180)*SIN($A$10*AJ180))/$A$10</f>
        <v>0.884555979210286</v>
      </c>
      <c r="AM180" s="32" t="n">
        <f aca="false">AK180-AL180</f>
        <v>-10.9733872332836</v>
      </c>
      <c r="AN180" s="35" t="n">
        <f aca="false"> MOD(280.4664567 + 360007.6982779*L180/10 + 0.03032028*L180^2/100 + L180^3/49931000,360)</f>
        <v>96.0810642448669</v>
      </c>
      <c r="AO180" s="32" t="n">
        <f aca="false"> AN180 + (1.9146 - 0.004817*L180 - 0.000014*L180^2)*SIN(Q180)+ (0.019993 - 0.000101*L180)*SIN(2*Q180)+ 0.00029*SIN(3*Q180)</f>
        <v>96.3174695847802</v>
      </c>
      <c r="AP180" s="32" t="n">
        <f aca="false">ACOS(COS(W180-$A$10*AO180)*COS(Y180))/$A$10</f>
        <v>12.5062596044561</v>
      </c>
      <c r="AQ180" s="34" t="n">
        <f aca="false">180 - AP180 -0.1468*(1-0.0549*SIN(Q180))*SIN($A$10*AP180)/(1-0.0167*SIN($A$10*AO180))</f>
        <v>167.461638630171</v>
      </c>
      <c r="AR180" s="64" t="n">
        <f aca="false">SIN($A$10*AI180)</f>
        <v>-0.463657383102286</v>
      </c>
      <c r="AS180" s="64" t="n">
        <f aca="false">COS($A$10*AI180)*SIN($A$10*$B$5) - TAN($A$10*AG180)*COS($A$10*$B$5)</f>
        <v>-0.992993407653064</v>
      </c>
      <c r="AT180" s="24" t="n">
        <f aca="false">IF(OR(AND(AR180*AS180&gt;0), AND(AR180&lt;0,AS180&gt;0)), MOD(ATAN2(AS180,AR180)/$A$10+360,360),  ATAN2(AS180,AR180)/$A$10)</f>
        <v>205.029233184272</v>
      </c>
      <c r="AU180" s="39" t="n">
        <f aca="false"> 385000.56 + (-20905355*COS(P180) - 3699111*COS(2*R180-P180) - 2955968*COS(2*R180) - 569925*COS(2*P180) + (1-0.002516*L180)*48888*COS(Q180) - 3149*COS(2*S180)  +246158*COS(2*R180-2*P180) -(1 - 0.002516*L180)*152138*COS(2*R180-Q180-P180) -170733*COS(2*R180+P180) -(1 - 0.002516*L180)*204586*COS(2*R180-Q180) -(1 - 0.002516*L180)*129620*COS(Q180-P180)  + 108743*COS(R180) +(1-0.002516*L180)*104755*COS(Q180+P180) +10321*COS(2*R180-2*S180) +79661*COS(P180-2*S180) -34782*COS(4*R180-P180) -23210*COS(3*P180)  -21636*COS(4*R180-2*P180) +(1 - 0.002516*L180)*24208*COS(2*R180+Q180-P180) +(1 - 0.002516*L180)*30824*COS(2*R180+Q180) -8379*COS(R180-P180) -(1 - 0.002516*L180)*16675*COS(R180+Q180)  -(1 - 0.002516*L180)*12831*COS(2*R180-Q180+P180) -10445*COS(2*R180+2*P180) -11650*COS(4*R180) +14403*COS(2*R180-3*P180) -(1-0.002516*L180)*7003*COS(Q180-2*P180)  + (1 - 0.002516*L180)*10056*COS(2*R180-Q180-2*P180) +6322*COS(R180+P180) -(1 - 0.002516*L180)*(1-0.002516*L180)*9884*COS(2*R180-2*Q180) +(1-0.002516*L180)*5751*COS(Q180+2*P180) - (1-0.002516*L180)^2*4950*COS(2*R180-2*Q180-P180)  +4130*COS(2*R180+P180-2*S180) -(1-0.002516*L180)*3958*COS(4*R180-Q180-P180) +3258*COS(3*R180-P180) +(1 - 0.002516*L180)*2616*COS(2*R180+Q180+P180) -(1 - 0.002516*L180)*1897*COS(4*R180-Q180-2*P180)  -(1-0.002516*L180)^2*2117*COS(2*Q180-P180) +(1-0.002516*L180)^2*2354*COS(2*R180+2*Q180-P180) -1423*COS(4*R180+P180) -1117*COS(4*P180) -(1-0.002516*L180)*1571*COS(4*R180-Q180)  -1739*COS(R180-2*P180) -4421*COS(2*P180-2*S180) +(1-0.002516*L180)^2*1165*COS(2*Q180+P180) +8752*COS(2*R180-P180-2*S180))/1000</f>
        <v>406038.77195661</v>
      </c>
      <c r="AV180" s="54" t="n">
        <f aca="false">ATAN(0.99664719*TAN($A$10*input!$E$2))</f>
        <v>0.871010436227447</v>
      </c>
      <c r="AW180" s="54" t="n">
        <f aca="false">COS(AV180)</f>
        <v>0.644053912545845</v>
      </c>
      <c r="AX180" s="54" t="n">
        <f aca="false">0.99664719*SIN(AV180)</f>
        <v>0.762415269897027</v>
      </c>
      <c r="AY180" s="54" t="n">
        <f aca="false">6378.14/AU180</f>
        <v>0.015708204340352</v>
      </c>
      <c r="AZ180" s="55" t="n">
        <f aca="false">M180-15*AH180</f>
        <v>207.623364746564</v>
      </c>
      <c r="BA180" s="56" t="n">
        <f aca="false">COS($A$10*AG180)*SIN($A$10*AZ180)</f>
        <v>-0.416538669497866</v>
      </c>
      <c r="BB180" s="56" t="n">
        <f aca="false">COS($A$10*AG180)*COS($A$10*AZ180)-AW180*AY180</f>
        <v>-0.806091170522879</v>
      </c>
      <c r="BC180" s="56" t="n">
        <f aca="false">SIN($A$10*AG180)-AX180*AY180</f>
        <v>0.427251039669839</v>
      </c>
      <c r="BD180" s="57" t="n">
        <f aca="false">SQRT(BA180^2+BB180^2+BC180^2)</f>
        <v>1.00291120707715</v>
      </c>
      <c r="BE180" s="58" t="n">
        <f aca="false">AU180*BD180</f>
        <v>407220.834903129</v>
      </c>
    </row>
    <row r="181" customFormat="false" ht="15" hidden="false" customHeight="false" outlineLevel="0" collapsed="false">
      <c r="D181" s="41" t="n">
        <f aca="false">K181-INT(275*E181/9)+IF($A$8="common year",2,1)*INT((E181+9)/12)+30</f>
        <v>29</v>
      </c>
      <c r="E181" s="41" t="n">
        <f aca="false">IF(K181&lt;32,1,INT(9*(IF($A$8="common year",2,1)+K181)/275+0.98))</f>
        <v>6</v>
      </c>
      <c r="F181" s="42" t="n">
        <f aca="false">AM181</f>
        <v>-12.7851664445798</v>
      </c>
      <c r="G181" s="60" t="n">
        <f aca="false">F181+1.02/(TAN($A$10*(F181+10.3/(F181+5.11)))*60)</f>
        <v>-12.8527107689323</v>
      </c>
      <c r="H181" s="43" t="n">
        <f aca="false">100*(1+COS($A$10*AQ181))/2</f>
        <v>0.111867250166148</v>
      </c>
      <c r="I181" s="43" t="n">
        <f aca="false">IF(AI181&gt;180,AT181-180,AT181+180)</f>
        <v>14.0260984553742</v>
      </c>
      <c r="J181" s="61" t="n">
        <f aca="false">$J$2+K180</f>
        <v>2459759.5</v>
      </c>
      <c r="K181" s="21" t="n">
        <v>180</v>
      </c>
      <c r="L181" s="62" t="n">
        <f aca="false">(J181-2451545)/36525</f>
        <v>0.224900752908966</v>
      </c>
      <c r="M181" s="63" t="n">
        <f aca="false">MOD(280.46061837+360.98564736629*(J181-2451545)+0.000387933*L181^2-L181^3/38710000+$B$7,360)</f>
        <v>292.060928380583</v>
      </c>
      <c r="N181" s="30" t="n">
        <f aca="false">0.606433+1336.855225*L181 - INT(0.606433+1336.855225*L181)</f>
        <v>0.266179632785736</v>
      </c>
      <c r="O181" s="35" t="n">
        <f aca="false">22640*SIN(P181)-4586*SIN(P181-2*R181)+2370*SIN(2*R181)+769*SIN(2*P181)-668*SIN(Q181)-412*SIN(2*S181)-212*SIN(2*P181-2*R181)-206*SIN(P181+Q181-2*R181)+192*SIN(P181+2*R181)-165*SIN(Q181-2*R181)-125*SIN(R181)-110*SIN(P181+Q181)+148*SIN(P181-Q181)-55*SIN(2*S181-2*R181)</f>
        <v>389.731027475571</v>
      </c>
      <c r="P181" s="32" t="n">
        <f aca="false">2*PI()*(0.374897+1325.55241*L181 - INT(0.374897+1325.55241*L181))</f>
        <v>3.09529832831247</v>
      </c>
      <c r="Q181" s="36" t="n">
        <f aca="false">2*PI()*(0.993133+99.997361*L181 - INT(0.993133+99.997361*L181))</f>
        <v>3.03235808096177</v>
      </c>
      <c r="R181" s="36" t="n">
        <f aca="false">2*PI()*(0.827361+1236.853086*L181 - INT(0.827361+1236.853086*L181))</f>
        <v>6.26151635518647</v>
      </c>
      <c r="S181" s="36" t="n">
        <f aca="false">2*PI()*(0.259086+1342.227825*L181 - INT(0.259086+1342.227825*L181))</f>
        <v>0.798809106363125</v>
      </c>
      <c r="T181" s="36" t="n">
        <f aca="false">S181+(O181+412*SIN(2*S181)+541*SIN(Q181))/206264.8062</f>
        <v>0.802981225218318</v>
      </c>
      <c r="U181" s="36" t="n">
        <f aca="false">S181-2*R181</f>
        <v>-11.7242236040098</v>
      </c>
      <c r="V181" s="34" t="n">
        <f aca="false">-526*SIN(U181)+44*SIN(P181+U181)-31*SIN(-P181+U181)-23*SIN(Q181+U181)+11*SIN(-Q181+U181)-25*SIN(-2*P181+S181)+21*SIN(-P181+S181)</f>
        <v>-428.538792883097</v>
      </c>
      <c r="W181" s="36" t="n">
        <f aca="false">2*PI()*(N181+O181/1296000-INT(N181+O181/1296000))</f>
        <v>1.67434542713052</v>
      </c>
      <c r="X181" s="35" t="n">
        <f aca="false">W181*180/PI()</f>
        <v>95.9329264216082</v>
      </c>
      <c r="Y181" s="36" t="n">
        <f aca="false">(18520*SIN(T181)+V181)/206264.8062</f>
        <v>0.0625181965179242</v>
      </c>
      <c r="Z181" s="36" t="n">
        <f aca="false">Y181*180/PI()</f>
        <v>3.58202880324654</v>
      </c>
      <c r="AA181" s="36" t="n">
        <f aca="false">COS(Y181)*COS(W181)</f>
        <v>-0.103162215202496</v>
      </c>
      <c r="AB181" s="36" t="n">
        <f aca="false">COS(Y181)*SIN(W181)</f>
        <v>0.992700419056338</v>
      </c>
      <c r="AC181" s="36" t="n">
        <f aca="false">SIN(Y181)</f>
        <v>0.0624774788214563</v>
      </c>
      <c r="AD181" s="36" t="n">
        <f aca="false">COS($A$10*(23.4393-46.815*L181/3600))*AB181-SIN($A$10*(23.4393-46.815*L181/3600))*AC181</f>
        <v>0.885955724548694</v>
      </c>
      <c r="AE181" s="36" t="n">
        <f aca="false">SIN($A$10*(23.4393-46.815*L181/3600))*AB181+COS($A$10*(23.4393-46.815*L181/3600))*AC181</f>
        <v>0.452150430160045</v>
      </c>
      <c r="AF181" s="36" t="n">
        <f aca="false">SQRT(1-AE181*AE181)</f>
        <v>0.891941695687609</v>
      </c>
      <c r="AG181" s="35" t="n">
        <f aca="false">ATAN(AE181/AF181)/$A$10</f>
        <v>26.8817372458605</v>
      </c>
      <c r="AH181" s="36" t="n">
        <f aca="false">IF(24*ATAN(AD181/(AA181+AF181))/PI()&gt;0,24*ATAN(AD181/(AA181+AF181))/PI(),24*ATAN(AD181/(AA181+AF181))/PI()+24)</f>
        <v>6.4427806484532</v>
      </c>
      <c r="AI181" s="63" t="n">
        <f aca="false">IF(M181-15*AH181&gt;0,M181-15*AH181,360+M181-15*AH181)</f>
        <v>195.419218653785</v>
      </c>
      <c r="AJ181" s="32" t="n">
        <f aca="false">0.950724+0.051818*COS(P181)+0.009531*COS(2*R181-P181)+0.007843*COS(2*R181)+0.002824*COS(2*P181)+0.000857*COS(2*R181+P181)+0.000533*COS(2*R181-Q181)*(1-0.002495*(J181-2415020)/36525)+0.000401*COS(2*R181-Q181-P181)*(1-0.002495*(J181-2415020)/36525)+0.00032*COS(P181-Q181)*(1-0.002495*(J181-2415020)/36525)-0.000271*COS(R181)</f>
        <v>0.899139036528826</v>
      </c>
      <c r="AK181" s="36" t="n">
        <f aca="false">ASIN(COS($A$10*$B$5)*COS($A$10*AG181)*COS($A$10*AI181)+SIN($A$10*$B$5)*SIN($A$10*AG181))/$A$10</f>
        <v>-11.9071033973422</v>
      </c>
      <c r="AL181" s="32" t="n">
        <f aca="false">ASIN((0.9983271+0.0016764*COS($A$10*2*$B$5))*COS($A$10*AK181)*SIN($A$10*AJ181))/$A$10</f>
        <v>0.878063047237544</v>
      </c>
      <c r="AM181" s="32" t="n">
        <f aca="false">AK181-AL181</f>
        <v>-12.7851664445798</v>
      </c>
      <c r="AN181" s="35" t="n">
        <f aca="false"> MOD(280.4664567 + 360007.6982779*L181/10 + 0.03032028*L181^2/100 + L181^3/49931000,360)</f>
        <v>97.0667116087043</v>
      </c>
      <c r="AO181" s="32" t="n">
        <f aca="false"> AN181 + (1.9146 - 0.004817*L181 - 0.000014*L181^2)*SIN(Q181)+ (0.019993 - 0.000101*L181)*SIN(2*Q181)+ 0.00029*SIN(3*Q181)</f>
        <v>97.2710833454516</v>
      </c>
      <c r="AP181" s="32" t="n">
        <f aca="false">ACOS(COS(W181-$A$10*AO181)*COS(Y181))/$A$10</f>
        <v>3.82351417620931</v>
      </c>
      <c r="AQ181" s="34" t="n">
        <f aca="false">180 - AP181 -0.1468*(1-0.0549*SIN(Q181))*SIN($A$10*AP181)/(1-0.0167*SIN($A$10*AO181))</f>
        <v>176.166591381853</v>
      </c>
      <c r="AR181" s="64" t="n">
        <f aca="false">SIN($A$10*AI181)</f>
        <v>-0.265879487892917</v>
      </c>
      <c r="AS181" s="64" t="n">
        <f aca="false">COS($A$10*AI181)*SIN($A$10*$B$5) - TAN($A$10*AG181)*COS($A$10*$B$5)</f>
        <v>-1.06431883888889</v>
      </c>
      <c r="AT181" s="24" t="n">
        <f aca="false">IF(OR(AND(AR181*AS181&gt;0), AND(AR181&lt;0,AS181&gt;0)), MOD(ATAN2(AS181,AR181)/$A$10+360,360),  ATAN2(AS181,AR181)/$A$10)</f>
        <v>194.026098455374</v>
      </c>
      <c r="AU181" s="39" t="n">
        <f aca="false"> 385000.56 + (-20905355*COS(P181) - 3699111*COS(2*R181-P181) - 2955968*COS(2*R181) - 569925*COS(2*P181) + (1-0.002516*L181)*48888*COS(Q181) - 3149*COS(2*S181)  +246158*COS(2*R181-2*P181) -(1 - 0.002516*L181)*152138*COS(2*R181-Q181-P181) -170733*COS(2*R181+P181) -(1 - 0.002516*L181)*204586*COS(2*R181-Q181) -(1 - 0.002516*L181)*129620*COS(Q181-P181)  + 108743*COS(R181) +(1-0.002516*L181)*104755*COS(Q181+P181) +10321*COS(2*R181-2*S181) +79661*COS(P181-2*S181) -34782*COS(4*R181-P181) -23210*COS(3*P181)  -21636*COS(4*R181-2*P181) +(1 - 0.002516*L181)*24208*COS(2*R181+Q181-P181) +(1 - 0.002516*L181)*30824*COS(2*R181+Q181) -8379*COS(R181-P181) -(1 - 0.002516*L181)*16675*COS(R181+Q181)  -(1 - 0.002516*L181)*12831*COS(2*R181-Q181+P181) -10445*COS(2*R181+2*P181) -11650*COS(4*R181) +14403*COS(2*R181-3*P181) -(1-0.002516*L181)*7003*COS(Q181-2*P181)  + (1 - 0.002516*L181)*10056*COS(2*R181-Q181-2*P181) +6322*COS(R181+P181) -(1 - 0.002516*L181)*(1-0.002516*L181)*9884*COS(2*R181-2*Q181) +(1-0.002516*L181)*5751*COS(Q181+2*P181) - (1-0.002516*L181)^2*4950*COS(2*R181-2*Q181-P181)  +4130*COS(2*R181+P181-2*S181) -(1-0.002516*L181)*3958*COS(4*R181-Q181-P181) +3258*COS(3*R181-P181) +(1 - 0.002516*L181)*2616*COS(2*R181+Q181+P181) -(1 - 0.002516*L181)*1897*COS(4*R181-Q181-2*P181)  -(1-0.002516*L181)^2*2117*COS(2*Q181-P181) +(1-0.002516*L181)^2*2354*COS(2*R181+2*Q181-P181) -1423*COS(4*R181+P181) -1117*COS(4*P181) -(1-0.002516*L181)*1571*COS(4*R181-Q181)  -1739*COS(R181-2*P181) -4421*COS(2*P181-2*S181) +(1-0.002516*L181)^2*1165*COS(2*Q181+P181) +8752*COS(2*R181-P181-2*S181))/1000</f>
        <v>406553.24922143</v>
      </c>
      <c r="AV181" s="54" t="n">
        <f aca="false">ATAN(0.99664719*TAN($A$10*input!$E$2))</f>
        <v>0.871010436227447</v>
      </c>
      <c r="AW181" s="54" t="n">
        <f aca="false">COS(AV181)</f>
        <v>0.644053912545845</v>
      </c>
      <c r="AX181" s="54" t="n">
        <f aca="false">0.99664719*SIN(AV181)</f>
        <v>0.762415269897027</v>
      </c>
      <c r="AY181" s="54" t="n">
        <f aca="false">6378.14/AU181</f>
        <v>0.0156883262210165</v>
      </c>
      <c r="AZ181" s="55" t="n">
        <f aca="false">M181-15*AH181</f>
        <v>195.419218653785</v>
      </c>
      <c r="BA181" s="56" t="n">
        <f aca="false">COS($A$10*AG181)*SIN($A$10*AZ181)</f>
        <v>-0.237149001279761</v>
      </c>
      <c r="BB181" s="56" t="n">
        <f aca="false">COS($A$10*AG181)*COS($A$10*AZ181)-AW181*AY181</f>
        <v>-0.869941519312169</v>
      </c>
      <c r="BC181" s="56" t="n">
        <f aca="false">SIN($A$10*AG181)-AX181*AY181</f>
        <v>0.440189410690016</v>
      </c>
      <c r="BD181" s="57" t="n">
        <f aca="false">SQRT(BA181^2+BB181^2+BC181^2)</f>
        <v>1.0033965383211</v>
      </c>
      <c r="BE181" s="58" t="n">
        <f aca="false">AU181*BD181</f>
        <v>407934.12291198</v>
      </c>
    </row>
    <row r="182" customFormat="false" ht="15" hidden="false" customHeight="false" outlineLevel="0" collapsed="false">
      <c r="D182" s="41" t="n">
        <f aca="false">K182-INT(275*E182/9)+IF($A$8="common year",2,1)*INT((E182+9)/12)+30</f>
        <v>30</v>
      </c>
      <c r="E182" s="41" t="n">
        <f aca="false">IF(K182&lt;32,1,INT(9*(IF($A$8="common year",2,1)+K182)/275+0.98))</f>
        <v>6</v>
      </c>
      <c r="F182" s="42" t="n">
        <f aca="false">AM182</f>
        <v>-14.3460888995968</v>
      </c>
      <c r="G182" s="60" t="n">
        <f aca="false">F182+1.02/(TAN($A$10*(F182+10.3/(F182+5.11)))*60)</f>
        <v>-14.4075501800017</v>
      </c>
      <c r="H182" s="43" t="n">
        <f aca="false">100*(1+COS($A$10*AQ182))/2</f>
        <v>0.832369731742899</v>
      </c>
      <c r="I182" s="43" t="n">
        <f aca="false">IF(AI182&gt;180,AT182-180,AT182+180)</f>
        <v>2.91777145449282</v>
      </c>
      <c r="J182" s="61" t="n">
        <f aca="false">$J$2+K181</f>
        <v>2459760.5</v>
      </c>
      <c r="K182" s="21" t="n">
        <v>181</v>
      </c>
      <c r="L182" s="62" t="n">
        <f aca="false">(J182-2451545)/36525</f>
        <v>0.224928131416838</v>
      </c>
      <c r="M182" s="63" t="n">
        <f aca="false">MOD(280.46061837+360.98564736629*(J182-2451545)+0.000387933*L182^2-L182^3/38710000+$B$7,360)</f>
        <v>293.046575751621</v>
      </c>
      <c r="N182" s="30" t="n">
        <f aca="false">0.606433+1336.855225*L182 - INT(0.606433+1336.855225*L182)</f>
        <v>0.302780734086241</v>
      </c>
      <c r="O182" s="35" t="n">
        <f aca="false">22640*SIN(P182)-4586*SIN(P182-2*R182)+2370*SIN(2*R182)+769*SIN(2*P182)-668*SIN(Q182)-412*SIN(2*S182)-212*SIN(2*P182-2*R182)-206*SIN(P182+Q182-2*R182)+192*SIN(P182+2*R182)-165*SIN(Q182-2*R182)-125*SIN(R182)-110*SIN(P182+Q182)+148*SIN(P182-Q182)-55*SIN(2*S182-2*R182)</f>
        <v>-4435.76058617538</v>
      </c>
      <c r="P182" s="32" t="n">
        <f aca="false">2*PI()*(0.374897+1325.55241*L182 - INT(0.374897+1325.55241*L182))</f>
        <v>3.32332547208793</v>
      </c>
      <c r="Q182" s="36" t="n">
        <f aca="false">2*PI()*(0.993133+99.997361*L182 - INT(0.993133+99.997361*L182))</f>
        <v>3.04956005082877</v>
      </c>
      <c r="R182" s="36" t="n">
        <f aca="false">2*PI()*(0.827361+1236.853086*L182 - INT(0.827361+1236.853086*L182))</f>
        <v>0.191099758125911</v>
      </c>
      <c r="S182" s="36" t="n">
        <f aca="false">2*PI()*(0.259086+1342.227825*L182 - INT(0.259086+1342.227825*L182))</f>
        <v>1.02970482570413</v>
      </c>
      <c r="T182" s="36" t="n">
        <f aca="false">S182+(O182+412*SIN(2*S182)+541*SIN(Q182))/206264.8062</f>
        <v>1.01020439992991</v>
      </c>
      <c r="U182" s="36" t="n">
        <f aca="false">S182-2*R182</f>
        <v>0.647505309452307</v>
      </c>
      <c r="V182" s="34" t="n">
        <f aca="false">-526*SIN(U182)+44*SIN(P182+U182)-31*SIN(-P182+U182)-23*SIN(Q182+U182)+11*SIN(-Q182+U182)-25*SIN(-2*P182+S182)+21*SIN(-P182+S182)</f>
        <v>-362.290344760021</v>
      </c>
      <c r="W182" s="36" t="n">
        <f aca="false">2*PI()*(N182+O182/1296000-INT(N182+O182/1296000))</f>
        <v>1.88092228552468</v>
      </c>
      <c r="X182" s="35" t="n">
        <f aca="false">W182*180/PI()</f>
        <v>107.768908552665</v>
      </c>
      <c r="Y182" s="36" t="n">
        <f aca="false">(18520*SIN(T182)+V182)/206264.8062</f>
        <v>0.0742882352249788</v>
      </c>
      <c r="Z182" s="36" t="n">
        <f aca="false">Y182*180/PI()</f>
        <v>4.25640234586638</v>
      </c>
      <c r="AA182" s="36" t="n">
        <f aca="false">COS(Y182)*COS(W182)</f>
        <v>-0.304336875025584</v>
      </c>
      <c r="AB182" s="36" t="n">
        <f aca="false">COS(Y182)*SIN(W182)</f>
        <v>0.949668610258422</v>
      </c>
      <c r="AC182" s="36" t="n">
        <f aca="false">SIN(Y182)</f>
        <v>0.074219924477859</v>
      </c>
      <c r="AD182" s="36" t="n">
        <f aca="false">COS($A$10*(23.4393-46.815*L182/3600))*AB182-SIN($A$10*(23.4393-46.815*L182/3600))*AC182</f>
        <v>0.841803615246273</v>
      </c>
      <c r="AE182" s="36" t="n">
        <f aca="false">SIN($A$10*(23.4393-46.815*L182/3600))*AB182+COS($A$10*(23.4393-46.815*L182/3600))*AC182</f>
        <v>0.445809084539523</v>
      </c>
      <c r="AF182" s="36" t="n">
        <f aca="false">SQRT(1-AE182*AE182)</f>
        <v>0.895128069128676</v>
      </c>
      <c r="AG182" s="35" t="n">
        <f aca="false">ATAN(AE182/AF182)/$A$10</f>
        <v>26.4751153862334</v>
      </c>
      <c r="AH182" s="36" t="n">
        <f aca="false">IF(24*ATAN(AD182/(AA182+AF182))/PI()&gt;0,24*ATAN(AD182/(AA182+AF182))/PI(),24*ATAN(AD182/(AA182+AF182))/PI()+24)</f>
        <v>7.32509467946713</v>
      </c>
      <c r="AI182" s="63" t="n">
        <f aca="false">IF(M182-15*AH182&gt;0,M182-15*AH182,360+M182-15*AH182)</f>
        <v>183.170155559614</v>
      </c>
      <c r="AJ182" s="32" t="n">
        <f aca="false">0.950724+0.051818*COS(P182)+0.009531*COS(2*R182-P182)+0.007843*COS(2*R182)+0.002824*COS(2*P182)+0.000857*COS(2*R182+P182)+0.000533*COS(2*R182-Q182)*(1-0.002495*(J182-2415020)/36525)+0.000401*COS(2*R182-Q182-P182)*(1-0.002495*(J182-2415020)/36525)+0.00032*COS(P182-Q182)*(1-0.002495*(J182-2415020)/36525)-0.000271*COS(R182)</f>
        <v>0.899562655598216</v>
      </c>
      <c r="AK182" s="36" t="n">
        <f aca="false">ASIN(COS($A$10*$B$5)*COS($A$10*AG182)*COS($A$10*AI182)+SIN($A$10*$B$5)*SIN($A$10*AG182))/$A$10</f>
        <v>-13.4730025825261</v>
      </c>
      <c r="AL182" s="32" t="n">
        <f aca="false">ASIN((0.9983271+0.0016764*COS($A$10*2*$B$5))*COS($A$10*AK182)*SIN($A$10*AJ182))/$A$10</f>
        <v>0.873086317070781</v>
      </c>
      <c r="AM182" s="32" t="n">
        <f aca="false">AK182-AL182</f>
        <v>-14.3460888995968</v>
      </c>
      <c r="AN182" s="35" t="n">
        <f aca="false"> MOD(280.4664567 + 360007.6982779*L182/10 + 0.03032028*L182^2/100 + L182^3/49931000,360)</f>
        <v>98.0523589725417</v>
      </c>
      <c r="AO182" s="32" t="n">
        <f aca="false"> AN182 + (1.9146 - 0.004817*L182 - 0.000014*L182^2)*SIN(Q182)+ (0.019993 - 0.000101*L182)*SIN(2*Q182)+ 0.00029*SIN(3*Q182)</f>
        <v>98.2246402576795</v>
      </c>
      <c r="AP182" s="32" t="n">
        <f aca="false">ACOS(COS(W182-$A$10*AO182)*COS(Y182))/$A$10</f>
        <v>10.4423212467863</v>
      </c>
      <c r="AQ182" s="34" t="n">
        <f aca="false">180 - AP182 -0.1468*(1-0.0549*SIN(Q182))*SIN($A$10*AP182)/(1-0.0167*SIN($A$10*AO182))</f>
        <v>169.530761243065</v>
      </c>
      <c r="AR182" s="64" t="n">
        <f aca="false">SIN($A$10*AI182)</f>
        <v>-0.0553014258763924</v>
      </c>
      <c r="AS182" s="64" t="n">
        <f aca="false">COS($A$10*AI182)*SIN($A$10*$B$5) - TAN($A$10*AG182)*COS($A$10*$B$5)</f>
        <v>-1.08500575211895</v>
      </c>
      <c r="AT182" s="24" t="n">
        <f aca="false">IF(OR(AND(AR182*AS182&gt;0), AND(AR182&lt;0,AS182&gt;0)), MOD(ATAN2(AS182,AR182)/$A$10+360,360),  ATAN2(AS182,AR182)/$A$10)</f>
        <v>182.917771454493</v>
      </c>
      <c r="AU182" s="39" t="n">
        <f aca="false"> 385000.56 + (-20905355*COS(P182) - 3699111*COS(2*R182-P182) - 2955968*COS(2*R182) - 569925*COS(2*P182) + (1-0.002516*L182)*48888*COS(Q182) - 3149*COS(2*S182)  +246158*COS(2*R182-2*P182) -(1 - 0.002516*L182)*152138*COS(2*R182-Q182-P182) -170733*COS(2*R182+P182) -(1 - 0.002516*L182)*204586*COS(2*R182-Q182) -(1 - 0.002516*L182)*129620*COS(Q182-P182)  + 108743*COS(R182) +(1-0.002516*L182)*104755*COS(Q182+P182) +10321*COS(2*R182-2*S182) +79661*COS(P182-2*S182) -34782*COS(4*R182-P182) -23210*COS(3*P182)  -21636*COS(4*R182-2*P182) +(1 - 0.002516*L182)*24208*COS(2*R182+Q182-P182) +(1 - 0.002516*L182)*30824*COS(2*R182+Q182) -8379*COS(R182-P182) -(1 - 0.002516*L182)*16675*COS(R182+Q182)  -(1 - 0.002516*L182)*12831*COS(2*R182-Q182+P182) -10445*COS(2*R182+2*P182) -11650*COS(4*R182) +14403*COS(2*R182-3*P182) -(1-0.002516*L182)*7003*COS(Q182-2*P182)  + (1 - 0.002516*L182)*10056*COS(2*R182-Q182-2*P182) +6322*COS(R182+P182) -(1 - 0.002516*L182)*(1-0.002516*L182)*9884*COS(2*R182-2*Q182) +(1-0.002516*L182)*5751*COS(Q182+2*P182) - (1-0.002516*L182)^2*4950*COS(2*R182-2*Q182-P182)  +4130*COS(2*R182+P182-2*S182) -(1-0.002516*L182)*3958*COS(4*R182-Q182-P182) +3258*COS(3*R182-P182) +(1 - 0.002516*L182)*2616*COS(2*R182+Q182+P182) -(1 - 0.002516*L182)*1897*COS(4*R182-Q182-2*P182)  -(1-0.002516*L182)^2*2117*COS(2*Q182-P182) +(1-0.002516*L182)^2*2354*COS(2*R182+2*Q182-P182) -1423*COS(4*R182+P182) -1117*COS(4*P182) -(1-0.002516*L182)*1571*COS(4*R182-Q182)  -1739*COS(R182-2*P182) -4421*COS(2*P182-2*S182) +(1-0.002516*L182)^2*1165*COS(2*Q182+P182) +8752*COS(2*R182-P182-2*S182))/1000</f>
        <v>406387.6627432</v>
      </c>
      <c r="AV182" s="54" t="n">
        <f aca="false">ATAN(0.99664719*TAN($A$10*input!$E$2))</f>
        <v>0.871010436227447</v>
      </c>
      <c r="AW182" s="54" t="n">
        <f aca="false">COS(AV182)</f>
        <v>0.644053912545845</v>
      </c>
      <c r="AX182" s="54" t="n">
        <f aca="false">0.99664719*SIN(AV182)</f>
        <v>0.762415269897027</v>
      </c>
      <c r="AY182" s="54" t="n">
        <f aca="false">6378.14/AU182</f>
        <v>0.0156947185771985</v>
      </c>
      <c r="AZ182" s="55" t="n">
        <f aca="false">M182-15*AH182</f>
        <v>183.170155559614</v>
      </c>
      <c r="BA182" s="56" t="n">
        <f aca="false">COS($A$10*AG182)*SIN($A$10*AZ182)</f>
        <v>-0.0495018585647977</v>
      </c>
      <c r="BB182" s="56" t="n">
        <f aca="false">COS($A$10*AG182)*COS($A$10*AZ182)-AW182*AY182</f>
        <v>-0.903866504247179</v>
      </c>
      <c r="BC182" s="56" t="n">
        <f aca="false">SIN($A$10*AG182)-AX182*AY182</f>
        <v>0.433843191439531</v>
      </c>
      <c r="BD182" s="57" t="n">
        <f aca="false">SQRT(BA182^2+BB182^2+BC182^2)</f>
        <v>1.00381522515841</v>
      </c>
      <c r="BE182" s="58" t="n">
        <f aca="false">AU182*BD182</f>
        <v>407938.123178164</v>
      </c>
    </row>
    <row r="183" customFormat="false" ht="15" hidden="false" customHeight="false" outlineLevel="0" collapsed="false">
      <c r="A183" s="11"/>
      <c r="B183" s="69"/>
      <c r="C183" s="69"/>
      <c r="D183" s="70" t="n">
        <f aca="false">K183-INT(275*E183/9)+IF($A$8="common year",2,1)*INT((E183+9)/12)+30</f>
        <v>1</v>
      </c>
      <c r="E183" s="70" t="n">
        <f aca="false">IF(K183&lt;32,1,INT(9*(IF($A$8="common year",2,1)+K183)/275+0.98))</f>
        <v>7</v>
      </c>
      <c r="F183" s="42" t="n">
        <f aca="false">AM183</f>
        <v>-15.5951323351015</v>
      </c>
      <c r="G183" s="60" t="n">
        <f aca="false">F183+1.02/(TAN($A$10*(F183+10.3/(F183+5.11)))*60)</f>
        <v>-15.6522396922352</v>
      </c>
      <c r="H183" s="43" t="n">
        <f aca="false">100*(1+COS($A$10*AQ183))/2</f>
        <v>3.33523261591794</v>
      </c>
      <c r="I183" s="43" t="n">
        <f aca="false">IF(AI183&gt;180,AT183-180,AT183+180)</f>
        <v>351.673214061994</v>
      </c>
      <c r="J183" s="44" t="n">
        <f aca="false">$J$2+K182</f>
        <v>2459761.5</v>
      </c>
      <c r="K183" s="11" t="n">
        <v>182</v>
      </c>
      <c r="L183" s="45" t="n">
        <f aca="false">(J183-2451545)/36525</f>
        <v>0.224955509924709</v>
      </c>
      <c r="M183" s="46" t="n">
        <f aca="false">MOD(280.46061837+360.98564736629*(J183-2451545)+0.000387933*L183^2-L183^3/38710000+$B$7,360)</f>
        <v>294.03222312266</v>
      </c>
      <c r="N183" s="47" t="n">
        <f aca="false">0.606433+1336.855225*L183 - INT(0.606433+1336.855225*L183)</f>
        <v>0.339381835386746</v>
      </c>
      <c r="O183" s="46" t="n">
        <f aca="false">22640*SIN(P183)-4586*SIN(P183-2*R183)+2370*SIN(2*R183)+769*SIN(2*P183)-668*SIN(Q183)-412*SIN(2*S183)-212*SIN(2*P183-2*R183)-206*SIN(P183+Q183-2*R183)+192*SIN(P183+2*R183)-165*SIN(Q183-2*R183)-125*SIN(R183)-110*SIN(P183+Q183)+148*SIN(P183-Q183)-55*SIN(2*S183-2*R183)</f>
        <v>-9098.50159348663</v>
      </c>
      <c r="P183" s="48" t="n">
        <f aca="false">2*PI()*(0.374897+1325.55241*L183 - INT(0.374897+1325.55241*L183))</f>
        <v>3.55135261586375</v>
      </c>
      <c r="Q183" s="51" t="n">
        <f aca="false">2*PI()*(0.993133+99.997361*L183 - INT(0.993133+99.997361*L183))</f>
        <v>3.06676202069576</v>
      </c>
      <c r="R183" s="51" t="n">
        <f aca="false">2*PI()*(0.827361+1236.853086*L183 - INT(0.827361+1236.853086*L183))</f>
        <v>0.403868468244935</v>
      </c>
      <c r="S183" s="51" t="n">
        <f aca="false">2*PI()*(0.259086+1342.227825*L183 - INT(0.259086+1342.227825*L183))</f>
        <v>1.26060054504478</v>
      </c>
      <c r="T183" s="51" t="n">
        <f aca="false">S183+(O183+412*SIN(2*S183)+541*SIN(Q183))/206264.8062</f>
        <v>1.21784706523951</v>
      </c>
      <c r="U183" s="51" t="n">
        <f aca="false">S183-2*R183</f>
        <v>0.452863608554905</v>
      </c>
      <c r="V183" s="50" t="n">
        <f aca="false">-526*SIN(U183)+44*SIN(P183+U183)-31*SIN(-P183+U183)-23*SIN(Q183+U183)+11*SIN(-Q183+U183)-25*SIN(-2*P183+S183)+21*SIN(-P183+S183)</f>
        <v>-285.742994949765</v>
      </c>
      <c r="W183" s="51" t="n">
        <f aca="false">2*PI()*(N183+O183/1296000-INT(N183+O183/1296000))</f>
        <v>2.08828818112445</v>
      </c>
      <c r="X183" s="46" t="n">
        <f aca="false">W183*180/PI()</f>
        <v>119.650099185482</v>
      </c>
      <c r="Y183" s="51" t="n">
        <f aca="false">(18520*SIN(T183)+V183)/206264.8062</f>
        <v>0.0828674321041225</v>
      </c>
      <c r="Z183" s="51" t="n">
        <f aca="false">Y183*180/PI()</f>
        <v>4.74795411865312</v>
      </c>
      <c r="AA183" s="51" t="n">
        <f aca="false">COS(Y183)*COS(W183)</f>
        <v>-0.493004370127473</v>
      </c>
      <c r="AB183" s="51" t="n">
        <f aca="false">COS(Y183)*SIN(W183)</f>
        <v>0.866080471989468</v>
      </c>
      <c r="AC183" s="51" t="n">
        <f aca="false">SIN(Y183)</f>
        <v>0.0827726227306708</v>
      </c>
      <c r="AD183" s="51" t="n">
        <f aca="false">COS($A$10*(23.4393-46.815*L183/3600))*AB183-SIN($A$10*(23.4393-46.815*L183/3600))*AC183</f>
        <v>0.76170963963179</v>
      </c>
      <c r="AE183" s="51" t="n">
        <f aca="false">SIN($A$10*(23.4393-46.815*L183/3600))*AB183+COS($A$10*(23.4393-46.815*L183/3600))*AC183</f>
        <v>0.420410651538734</v>
      </c>
      <c r="AF183" s="51" t="n">
        <f aca="false">SQRT(1-AE183*AE183)</f>
        <v>0.907333942974018</v>
      </c>
      <c r="AG183" s="46" t="n">
        <f aca="false">ATAN(AE183/AF183)/$A$10</f>
        <v>24.8605163491548</v>
      </c>
      <c r="AH183" s="51" t="n">
        <f aca="false">IF(24*ATAN(AD183/(AA183+AF183))/PI()&gt;0,24*ATAN(AD183/(AA183+AF183))/PI(),24*ATAN(AD183/(AA183+AF183))/PI()+24)</f>
        <v>8.19415445132702</v>
      </c>
      <c r="AI183" s="46" t="n">
        <f aca="false">IF(M183-15*AH183&gt;0,M183-15*AH183,360+M183-15*AH183)</f>
        <v>171.119906352755</v>
      </c>
      <c r="AJ183" s="48" t="n">
        <f aca="false">0.950724+0.051818*COS(P183)+0.009531*COS(2*R183-P183)+0.007843*COS(2*R183)+0.002824*COS(2*P183)+0.000857*COS(2*R183+P183)+0.000533*COS(2*R183-Q183)*(1-0.002495*(J183-2415020)/36525)+0.000401*COS(2*R183-Q183-P183)*(1-0.002495*(J183-2415020)/36525)+0.00032*COS(P183-Q183)*(1-0.002495*(J183-2415020)/36525)-0.000271*COS(R183)</f>
        <v>0.901512696940344</v>
      </c>
      <c r="AK183" s="51" t="n">
        <f aca="false">ASIN(COS($A$10*$B$5)*COS($A$10*AG183)*COS($A$10*AI183)+SIN($A$10*$B$5)*SIN($A$10*AG183))/$A$10</f>
        <v>-14.7249427220714</v>
      </c>
      <c r="AL183" s="48" t="n">
        <f aca="false">ASIN((0.9983271+0.0016764*COS($A$10*2*$B$5))*COS($A$10*AK183)*SIN($A$10*AJ183))/$A$10</f>
        <v>0.870189613030059</v>
      </c>
      <c r="AM183" s="48" t="n">
        <f aca="false">AK183-AL183</f>
        <v>-15.5951323351015</v>
      </c>
      <c r="AN183" s="46" t="n">
        <f aca="false"> MOD(280.4664567 + 360007.6982779*L183/10 + 0.03032028*L183^2/100 + L183^3/49931000,360)</f>
        <v>99.0380063363809</v>
      </c>
      <c r="AO183" s="48" t="n">
        <f aca="false"> AN183 + (1.9146 - 0.004817*L183 - 0.000014*L183^2)*SIN(Q183)+ (0.019993 - 0.000101*L183)*SIN(2*Q183)+ 0.00029*SIN(3*Q183)</f>
        <v>99.1781492533639</v>
      </c>
      <c r="AP183" s="48" t="n">
        <f aca="false">ACOS(COS(W183-$A$10*AO183)*COS(Y183))/$A$10</f>
        <v>20.9922791854809</v>
      </c>
      <c r="AQ183" s="50" t="n">
        <f aca="false">180 - AP183 -0.1468*(1-0.0549*SIN(Q183))*SIN($A$10*AP183)/(1-0.0167*SIN($A$10*AO183))</f>
        <v>158.954468793388</v>
      </c>
      <c r="AR183" s="44" t="n">
        <f aca="false">SIN($A$10*AI183)</f>
        <v>0.154367128691967</v>
      </c>
      <c r="AS183" s="44" t="n">
        <f aca="false">COS($A$10*AI183)*SIN($A$10*$B$5) - TAN($A$10*AG183)*COS($A$10*$B$5)</f>
        <v>-1.05469614130373</v>
      </c>
      <c r="AT183" s="71" t="n">
        <f aca="false">IF(OR(AND(AR183*AS183&gt;0), AND(AR183&lt;0,AS183&gt;0)), MOD(ATAN2(AS183,AR183)/$A$10+360,360),  ATAN2(AS183,AR183)/$A$10)</f>
        <v>171.673214061994</v>
      </c>
      <c r="AU183" s="39" t="n">
        <f aca="false"> 385000.56 + (-20905355*COS(P183) - 3699111*COS(2*R183-P183) - 2955968*COS(2*R183) - 569925*COS(2*P183) + (1-0.002516*L183)*48888*COS(Q183) - 3149*COS(2*S183)  +246158*COS(2*R183-2*P183) -(1 - 0.002516*L183)*152138*COS(2*R183-Q183-P183) -170733*COS(2*R183+P183) -(1 - 0.002516*L183)*204586*COS(2*R183-Q183) -(1 - 0.002516*L183)*129620*COS(Q183-P183)  + 108743*COS(R183) +(1-0.002516*L183)*104755*COS(Q183+P183) +10321*COS(2*R183-2*S183) +79661*COS(P183-2*S183) -34782*COS(4*R183-P183) -23210*COS(3*P183)  -21636*COS(4*R183-2*P183) +(1 - 0.002516*L183)*24208*COS(2*R183+Q183-P183) +(1 - 0.002516*L183)*30824*COS(2*R183+Q183) -8379*COS(R183-P183) -(1 - 0.002516*L183)*16675*COS(R183+Q183)  -(1 - 0.002516*L183)*12831*COS(2*R183-Q183+P183) -10445*COS(2*R183+2*P183) -11650*COS(4*R183) +14403*COS(2*R183-3*P183) -(1-0.002516*L183)*7003*COS(Q183-2*P183)  + (1 - 0.002516*L183)*10056*COS(2*R183-Q183-2*P183) +6322*COS(R183+P183) -(1 - 0.002516*L183)*(1-0.002516*L183)*9884*COS(2*R183-2*Q183) +(1-0.002516*L183)*5751*COS(Q183+2*P183) - (1-0.002516*L183)^2*4950*COS(2*R183-2*Q183-P183)  +4130*COS(2*R183+P183-2*S183) -(1-0.002516*L183)*3958*COS(4*R183-Q183-P183) +3258*COS(3*R183-P183) +(1 - 0.002516*L183)*2616*COS(2*R183+Q183+P183) -(1 - 0.002516*L183)*1897*COS(4*R183-Q183-2*P183)  -(1-0.002516*L183)^2*2117*COS(2*Q183-P183) +(1-0.002516*L183)^2*2354*COS(2*R183+2*Q183-P183) -1423*COS(4*R183+P183) -1117*COS(4*P183) -(1-0.002516*L183)*1571*COS(4*R183-Q183)  -1739*COS(R183-2*P183) -4421*COS(2*P183-2*S183) +(1-0.002516*L183)^2*1165*COS(2*Q183+P183) +8752*COS(2*R183-P183-2*S183))/1000</f>
        <v>405527.713896393</v>
      </c>
      <c r="AV183" s="72" t="n">
        <f aca="false">ATAN(0.99664719*TAN($A$10*input!$E$2))</f>
        <v>0.871010436227447</v>
      </c>
      <c r="AW183" s="72" t="n">
        <f aca="false">COS(AV183)</f>
        <v>0.644053912545845</v>
      </c>
      <c r="AX183" s="72" t="n">
        <f aca="false">0.99664719*SIN(AV183)</f>
        <v>0.762415269897027</v>
      </c>
      <c r="AY183" s="72" t="n">
        <f aca="false">6378.14/AU183</f>
        <v>0.0157280002856464</v>
      </c>
      <c r="AZ183" s="73" t="n">
        <f aca="false">M183-15*AH183</f>
        <v>171.119906352755</v>
      </c>
      <c r="BA183" s="74" t="n">
        <f aca="false">COS($A$10*AG183)*SIN($A$10*AZ183)</f>
        <v>0.14006253554166</v>
      </c>
      <c r="BB183" s="74" t="n">
        <f aca="false">COS($A$10*AG183)*COS($A$10*AZ183)-AW183*AY183</f>
        <v>-0.906587916855712</v>
      </c>
      <c r="BC183" s="74" t="n">
        <f aca="false">SIN($A$10*AG183)-AX183*AY183</f>
        <v>0.408419383956012</v>
      </c>
      <c r="BD183" s="75" t="n">
        <f aca="false">SQRT(BA183^2+BB183^2+BC183^2)</f>
        <v>1.00415415053773</v>
      </c>
      <c r="BE183" s="58" t="n">
        <f aca="false">AU183*BD183</f>
        <v>407212.337067139</v>
      </c>
      <c r="BH183" s="69"/>
      <c r="BI183" s="69"/>
      <c r="BJ183" s="69"/>
      <c r="BK183" s="69"/>
      <c r="BL183" s="69"/>
    </row>
    <row r="184" customFormat="false" ht="15" hidden="false" customHeight="false" outlineLevel="0" collapsed="false">
      <c r="D184" s="41" t="n">
        <f aca="false">K184-INT(275*E184/9)+IF($A$8="common year",2,1)*INT((E184+9)/12)+30</f>
        <v>2</v>
      </c>
      <c r="E184" s="41" t="n">
        <f aca="false">IF(K184&lt;32,1,INT(9*(IF($A$8="common year",2,1)+K184)/275+0.98))</f>
        <v>7</v>
      </c>
      <c r="F184" s="42" t="n">
        <f aca="false">AM184</f>
        <v>-16.4689944860568</v>
      </c>
      <c r="G184" s="60" t="n">
        <f aca="false">F184+1.02/(TAN($A$10*(F184+10.3/(F184+5.11)))*60)</f>
        <v>-16.5233220707801</v>
      </c>
      <c r="H184" s="43" t="n">
        <f aca="false">100*(1+COS($A$10*AQ184))/2</f>
        <v>7.55584399168822</v>
      </c>
      <c r="I184" s="43" t="n">
        <f aca="false">IF(AI184&gt;180,AT184-180,AT184+180)</f>
        <v>340.27376024789</v>
      </c>
      <c r="J184" s="61" t="n">
        <f aca="false">$J$2+K183</f>
        <v>2459762.5</v>
      </c>
      <c r="K184" s="21" t="n">
        <v>183</v>
      </c>
      <c r="L184" s="62" t="n">
        <f aca="false">(J184-2451545)/36525</f>
        <v>0.22498288843258</v>
      </c>
      <c r="M184" s="63" t="n">
        <f aca="false">MOD(280.46061837+360.98564736629*(J184-2451545)+0.000387933*L184^2-L184^3/38710000+$B$7,360)</f>
        <v>295.017870493699</v>
      </c>
      <c r="N184" s="30" t="n">
        <f aca="false">0.606433+1336.855225*L184 - INT(0.606433+1336.855225*L184)</f>
        <v>0.375982936687194</v>
      </c>
      <c r="O184" s="35" t="n">
        <f aca="false">22640*SIN(P184)-4586*SIN(P184-2*R184)+2370*SIN(2*R184)+769*SIN(2*P184)-668*SIN(Q184)-412*SIN(2*S184)-212*SIN(2*P184-2*R184)-206*SIN(P184+Q184-2*R184)+192*SIN(P184+2*R184)-165*SIN(Q184-2*R184)-125*SIN(R184)-110*SIN(P184+Q184)+148*SIN(P184-Q184)-55*SIN(2*S184-2*R184)</f>
        <v>-13501.8194915625</v>
      </c>
      <c r="P184" s="32" t="n">
        <f aca="false">2*PI()*(0.374897+1325.55241*L184 - INT(0.374897+1325.55241*L184))</f>
        <v>3.77937975963956</v>
      </c>
      <c r="Q184" s="36" t="n">
        <f aca="false">2*PI()*(0.993133+99.997361*L184 - INT(0.993133+99.997361*L184))</f>
        <v>3.08396399056276</v>
      </c>
      <c r="R184" s="36" t="n">
        <f aca="false">2*PI()*(0.827361+1236.853086*L184 - INT(0.827361+1236.853086*L184))</f>
        <v>0.616637178363602</v>
      </c>
      <c r="S184" s="36" t="n">
        <f aca="false">2*PI()*(0.259086+1342.227825*L184 - INT(0.259086+1342.227825*L184))</f>
        <v>1.49149626438578</v>
      </c>
      <c r="T184" s="36" t="n">
        <f aca="false">S184+(O184+412*SIN(2*S184)+541*SIN(Q184))/206264.8062</f>
        <v>1.42650413009609</v>
      </c>
      <c r="U184" s="36" t="n">
        <f aca="false">S184-2*R184</f>
        <v>0.258221907658575</v>
      </c>
      <c r="V184" s="34" t="n">
        <f aca="false">-526*SIN(U184)+44*SIN(P184+U184)-31*SIN(-P184+U184)-23*SIN(Q184+U184)+11*SIN(-Q184+U184)-25*SIN(-2*P184+S184)+21*SIN(-P184+S184)</f>
        <v>-200.181785161032</v>
      </c>
      <c r="W184" s="36" t="n">
        <f aca="false">2*PI()*(N184+O184/1296000-INT(N184+O184/1296000))</f>
        <v>2.2969117954494</v>
      </c>
      <c r="X184" s="35" t="n">
        <f aca="false">W184*180/PI()</f>
        <v>131.603351793067</v>
      </c>
      <c r="Y184" s="36" t="n">
        <f aca="false">(18520*SIN(T184)+V184)/206264.8062</f>
        <v>0.0878839071795396</v>
      </c>
      <c r="Z184" s="36" t="n">
        <f aca="false">Y184*180/PI()</f>
        <v>5.03537696850709</v>
      </c>
      <c r="AA184" s="36" t="n">
        <f aca="false">COS(Y184)*COS(W184)</f>
        <v>-0.66140749457188</v>
      </c>
      <c r="AB184" s="36" t="n">
        <f aca="false">COS(Y184)*SIN(W184)</f>
        <v>0.74487341816278</v>
      </c>
      <c r="AC184" s="36" t="n">
        <f aca="false">SIN(Y184)</f>
        <v>0.0877708211118289</v>
      </c>
      <c r="AD184" s="36" t="n">
        <f aca="false">COS($A$10*(23.4393-46.815*L184/3600))*AB184-SIN($A$10*(23.4393-46.815*L184/3600))*AC184</f>
        <v>0.648513954566372</v>
      </c>
      <c r="AE184" s="36" t="n">
        <f aca="false">SIN($A$10*(23.4393-46.815*L184/3600))*AB184+COS($A$10*(23.4393-46.815*L184/3600))*AC184</f>
        <v>0.376788769547122</v>
      </c>
      <c r="AF184" s="36" t="n">
        <f aca="false">SQRT(1-AE184*AE184)</f>
        <v>0.926299208216851</v>
      </c>
      <c r="AG184" s="35" t="n">
        <f aca="false">ATAN(AE184/AF184)/$A$10</f>
        <v>22.1349129400902</v>
      </c>
      <c r="AH184" s="36" t="n">
        <f aca="false">IF(24*ATAN(AD184/(AA184+AF184))/PI()&gt;0,24*ATAN(AD184/(AA184+AF184))/PI(),24*ATAN(AD184/(AA184+AF184))/PI()+24)</f>
        <v>9.03759622734308</v>
      </c>
      <c r="AI184" s="63" t="n">
        <f aca="false">IF(M184-15*AH184&gt;0,M184-15*AH184,360+M184-15*AH184)</f>
        <v>159.453927083553</v>
      </c>
      <c r="AJ184" s="32" t="n">
        <f aca="false">0.950724+0.051818*COS(P184)+0.009531*COS(2*R184-P184)+0.007843*COS(2*R184)+0.002824*COS(2*P184)+0.000857*COS(2*R184+P184)+0.000533*COS(2*R184-Q184)*(1-0.002495*(J184-2415020)/36525)+0.000401*COS(2*R184-Q184-P184)*(1-0.002495*(J184-2415020)/36525)+0.00032*COS(P184-Q184)*(1-0.002495*(J184-2415020)/36525)-0.000271*COS(R184)</f>
        <v>0.90506903873463</v>
      </c>
      <c r="AK184" s="36" t="n">
        <f aca="false">ASIN(COS($A$10*$B$5)*COS($A$10*AG184)*COS($A$10*AI184)+SIN($A$10*$B$5)*SIN($A$10*AG184))/$A$10</f>
        <v>-15.5989763544262</v>
      </c>
      <c r="AL184" s="32" t="n">
        <f aca="false">ASIN((0.9983271+0.0016764*COS($A$10*2*$B$5))*COS($A$10*AK184)*SIN($A$10*AJ184))/$A$10</f>
        <v>0.870018131630582</v>
      </c>
      <c r="AM184" s="32" t="n">
        <f aca="false">AK184-AL184</f>
        <v>-16.4689944860568</v>
      </c>
      <c r="AN184" s="35" t="n">
        <f aca="false"> MOD(280.4664567 + 360007.6982779*L184/10 + 0.03032028*L184^2/100 + L184^3/49931000,360)</f>
        <v>100.023653700218</v>
      </c>
      <c r="AO184" s="32" t="n">
        <f aca="false"> AN184 + (1.9146 - 0.004817*L184 - 0.000014*L184^2)*SIN(Q184)+ (0.019993 - 0.000101*L184)*SIN(2*Q184)+ 0.00029*SIN(3*Q184)</f>
        <v>100.131619275235</v>
      </c>
      <c r="AP184" s="32" t="n">
        <f aca="false">ACOS(COS(W184-$A$10*AO184)*COS(Y184))/$A$10</f>
        <v>31.8311315271593</v>
      </c>
      <c r="AQ184" s="34" t="n">
        <f aca="false">180 - AP184 -0.1468*(1-0.0549*SIN(Q184))*SIN($A$10*AP184)/(1-0.0167*SIN($A$10*AO184))</f>
        <v>148.090398389927</v>
      </c>
      <c r="AR184" s="64" t="n">
        <f aca="false">SIN($A$10*AI184)</f>
        <v>0.350960468623468</v>
      </c>
      <c r="AS184" s="64" t="n">
        <f aca="false">COS($A$10*AI184)*SIN($A$10*$B$5) - TAN($A$10*AG184)*COS($A$10*$B$5)</f>
        <v>-0.978781924033709</v>
      </c>
      <c r="AT184" s="24" t="n">
        <f aca="false">IF(OR(AND(AR184*AS184&gt;0), AND(AR184&lt;0,AS184&gt;0)), MOD(ATAN2(AS184,AR184)/$A$10+360,360),  ATAN2(AS184,AR184)/$A$10)</f>
        <v>160.27376024789</v>
      </c>
      <c r="AU184" s="39" t="n">
        <f aca="false"> 385000.56 + (-20905355*COS(P184) - 3699111*COS(2*R184-P184) - 2955968*COS(2*R184) - 569925*COS(2*P184) + (1-0.002516*L184)*48888*COS(Q184) - 3149*COS(2*S184)  +246158*COS(2*R184-2*P184) -(1 - 0.002516*L184)*152138*COS(2*R184-Q184-P184) -170733*COS(2*R184+P184) -(1 - 0.002516*L184)*204586*COS(2*R184-Q184) -(1 - 0.002516*L184)*129620*COS(Q184-P184)  + 108743*COS(R184) +(1-0.002516*L184)*104755*COS(Q184+P184) +10321*COS(2*R184-2*S184) +79661*COS(P184-2*S184) -34782*COS(4*R184-P184) -23210*COS(3*P184)  -21636*COS(4*R184-2*P184) +(1 - 0.002516*L184)*24208*COS(2*R184+Q184-P184) +(1 - 0.002516*L184)*30824*COS(2*R184+Q184) -8379*COS(R184-P184) -(1 - 0.002516*L184)*16675*COS(R184+Q184)  -(1 - 0.002516*L184)*12831*COS(2*R184-Q184+P184) -10445*COS(2*R184+2*P184) -11650*COS(4*R184) +14403*COS(2*R184-3*P184) -(1-0.002516*L184)*7003*COS(Q184-2*P184)  + (1 - 0.002516*L184)*10056*COS(2*R184-Q184-2*P184) +6322*COS(R184+P184) -(1 - 0.002516*L184)*(1-0.002516*L184)*9884*COS(2*R184-2*Q184) +(1-0.002516*L184)*5751*COS(Q184+2*P184) - (1-0.002516*L184)^2*4950*COS(2*R184-2*Q184-P184)  +4130*COS(2*R184+P184-2*S184) -(1-0.002516*L184)*3958*COS(4*R184-Q184-P184) +3258*COS(3*R184-P184) +(1 - 0.002516*L184)*2616*COS(2*R184+Q184+P184) -(1 - 0.002516*L184)*1897*COS(4*R184-Q184-2*P184)  -(1-0.002516*L184)^2*2117*COS(2*Q184-P184) +(1-0.002516*L184)^2*2354*COS(2*R184+2*Q184-P184) -1423*COS(4*R184+P184) -1117*COS(4*P184) -(1-0.002516*L184)*1571*COS(4*R184-Q184)  -1739*COS(R184-2*P184) -4421*COS(2*P184-2*S184) +(1-0.002516*L184)^2*1165*COS(2*Q184+P184) +8752*COS(2*R184-P184-2*S184))/1000</f>
        <v>403937.407494855</v>
      </c>
      <c r="AV184" s="54" t="n">
        <f aca="false">ATAN(0.99664719*TAN($A$10*input!$E$2))</f>
        <v>0.871010436227447</v>
      </c>
      <c r="AW184" s="54" t="n">
        <f aca="false">COS(AV184)</f>
        <v>0.644053912545845</v>
      </c>
      <c r="AX184" s="54" t="n">
        <f aca="false">0.99664719*SIN(AV184)</f>
        <v>0.762415269897027</v>
      </c>
      <c r="AY184" s="54" t="n">
        <f aca="false">6378.14/AU184</f>
        <v>0.0157899216107665</v>
      </c>
      <c r="AZ184" s="55" t="n">
        <f aca="false">M184-15*AH184</f>
        <v>159.453927083553</v>
      </c>
      <c r="BA184" s="56" t="n">
        <f aca="false">COS($A$10*AG184)*SIN($A$10*AZ184)</f>
        <v>0.325094404201334</v>
      </c>
      <c r="BB184" s="56" t="n">
        <f aca="false">COS($A$10*AG184)*COS($A$10*AZ184)-AW184*AY184</f>
        <v>-0.877547132268519</v>
      </c>
      <c r="BC184" s="56" t="n">
        <f aca="false">SIN($A$10*AG184)-AX184*AY184</f>
        <v>0.364750292200597</v>
      </c>
      <c r="BD184" s="57" t="n">
        <f aca="false">SQRT(BA184^2+BB184^2+BC184^2)</f>
        <v>1.00439938105125</v>
      </c>
      <c r="BE184" s="58" t="n">
        <f aca="false">AU184*BD184</f>
        <v>405714.48207128</v>
      </c>
    </row>
    <row r="185" customFormat="false" ht="15" hidden="false" customHeight="false" outlineLevel="0" collapsed="false">
      <c r="D185" s="41" t="n">
        <f aca="false">K185-INT(275*E185/9)+IF($A$8="common year",2,1)*INT((E185+9)/12)+30</f>
        <v>3</v>
      </c>
      <c r="E185" s="41" t="n">
        <f aca="false">IF(K185&lt;32,1,INT(9*(IF($A$8="common year",2,1)+K185)/275+0.98))</f>
        <v>7</v>
      </c>
      <c r="F185" s="42" t="n">
        <f aca="false">AM185</f>
        <v>-16.9049680144553</v>
      </c>
      <c r="G185" s="60" t="n">
        <f aca="false">F185+1.02/(TAN($A$10*(F185+10.3/(F185+5.11)))*60)</f>
        <v>-16.9579860434981</v>
      </c>
      <c r="H185" s="43" t="n">
        <f aca="false">100*(1+COS($A$10*AQ185))/2</f>
        <v>13.3848386881387</v>
      </c>
      <c r="I185" s="43" t="n">
        <f aca="false">IF(AI185&gt;180,AT185-180,AT185+180)</f>
        <v>328.711530202711</v>
      </c>
      <c r="J185" s="61" t="n">
        <f aca="false">$J$2+K184</f>
        <v>2459763.5</v>
      </c>
      <c r="K185" s="21" t="n">
        <v>184</v>
      </c>
      <c r="L185" s="62" t="n">
        <f aca="false">(J185-2451545)/36525</f>
        <v>0.225010266940452</v>
      </c>
      <c r="M185" s="63" t="n">
        <f aca="false">MOD(280.46061837+360.98564736629*(J185-2451545)+0.000387933*L185^2-L185^3/38710000+$B$7,360)</f>
        <v>296.003517865203</v>
      </c>
      <c r="N185" s="30" t="n">
        <f aca="false">0.606433+1336.855225*L185 - INT(0.606433+1336.855225*L185)</f>
        <v>0.412584037987699</v>
      </c>
      <c r="O185" s="35" t="n">
        <f aca="false">22640*SIN(P185)-4586*SIN(P185-2*R185)+2370*SIN(2*R185)+769*SIN(2*P185)-668*SIN(Q185)-412*SIN(2*S185)-212*SIN(2*P185-2*R185)-206*SIN(P185+Q185-2*R185)+192*SIN(P185+2*R185)-165*SIN(Q185-2*R185)-125*SIN(R185)-110*SIN(P185+Q185)+148*SIN(P185-Q185)-55*SIN(2*S185-2*R185)</f>
        <v>-17542.4830915426</v>
      </c>
      <c r="P185" s="32" t="n">
        <f aca="false">2*PI()*(0.374897+1325.55241*L185 - INT(0.374897+1325.55241*L185))</f>
        <v>4.00740690341538</v>
      </c>
      <c r="Q185" s="36" t="n">
        <f aca="false">2*PI()*(0.993133+99.997361*L185 - INT(0.993133+99.997361*L185))</f>
        <v>3.10116596042975</v>
      </c>
      <c r="R185" s="36" t="n">
        <f aca="false">2*PI()*(0.827361+1236.853086*L185 - INT(0.827361+1236.853086*L185))</f>
        <v>0.829405888482627</v>
      </c>
      <c r="S185" s="36" t="n">
        <f aca="false">2*PI()*(0.259086+1342.227825*L185 - INT(0.259086+1342.227825*L185))</f>
        <v>1.72239198372678</v>
      </c>
      <c r="T185" s="36" t="n">
        <f aca="false">S185+(O185+412*SIN(2*S185)+541*SIN(Q185))/206264.8062</f>
        <v>1.63685326128447</v>
      </c>
      <c r="U185" s="36" t="n">
        <f aca="false">S185-2*R185</f>
        <v>0.063580206761531</v>
      </c>
      <c r="V185" s="34" t="n">
        <f aca="false">-526*SIN(U185)+44*SIN(P185+U185)-31*SIN(-P185+U185)-23*SIN(Q185+U185)+11*SIN(-Q185+U185)-25*SIN(-2*P185+S185)+21*SIN(-P185+S185)</f>
        <v>-107.208570633719</v>
      </c>
      <c r="W185" s="36" t="n">
        <f aca="false">2*PI()*(N185+O185/1296000-INT(N185+O185/1296000))</f>
        <v>2.50729360742701</v>
      </c>
      <c r="X185" s="35" t="n">
        <f aca="false">W185*180/PI()</f>
        <v>143.657341705699</v>
      </c>
      <c r="Y185" s="36" t="n">
        <f aca="false">(18520*SIN(T185)+V185)/206264.8062</f>
        <v>0.0890719084669911</v>
      </c>
      <c r="Z185" s="36" t="n">
        <f aca="false">Y185*180/PI()</f>
        <v>5.10344442833417</v>
      </c>
      <c r="AA185" s="36" t="n">
        <f aca="false">COS(Y185)*COS(W185)</f>
        <v>-0.802294111231965</v>
      </c>
      <c r="AB185" s="36" t="n">
        <f aca="false">COS(Y185)*SIN(W185)</f>
        <v>0.590263766273234</v>
      </c>
      <c r="AC185" s="36" t="n">
        <f aca="false">SIN(Y185)</f>
        <v>0.0889541753233058</v>
      </c>
      <c r="AD185" s="36" t="n">
        <f aca="false">COS($A$10*(23.4393-46.815*L185/3600))*AB185-SIN($A$10*(23.4393-46.815*L185/3600))*AC185</f>
        <v>0.506188587619019</v>
      </c>
      <c r="AE185" s="36" t="n">
        <f aca="false">SIN($A$10*(23.4393-46.815*L185/3600))*AB185+COS($A$10*(23.4393-46.815*L185/3600))*AC185</f>
        <v>0.3163815305083</v>
      </c>
      <c r="AF185" s="36" t="n">
        <f aca="false">SQRT(1-AE185*AE185)</f>
        <v>0.948632029373469</v>
      </c>
      <c r="AG185" s="35" t="n">
        <f aca="false">ATAN(AE185/AF185)/$A$10</f>
        <v>18.4442356886877</v>
      </c>
      <c r="AH185" s="36" t="n">
        <f aca="false">IF(24*ATAN(AD185/(AA185+AF185))/PI()&gt;0,24*ATAN(AD185/(AA185+AF185))/PI(),24*ATAN(AD185/(AA185+AF185))/PI()+24)</f>
        <v>9.85007252714067</v>
      </c>
      <c r="AI185" s="63" t="n">
        <f aca="false">IF(M185-15*AH185&gt;0,M185-15*AH185,360+M185-15*AH185)</f>
        <v>148.252429958093</v>
      </c>
      <c r="AJ185" s="32" t="n">
        <f aca="false">0.950724+0.051818*COS(P185)+0.009531*COS(2*R185-P185)+0.007843*COS(2*R185)+0.002824*COS(2*P185)+0.000857*COS(2*R185+P185)+0.000533*COS(2*R185-Q185)*(1-0.002495*(J185-2415020)/36525)+0.000401*COS(2*R185-Q185-P185)*(1-0.002495*(J185-2415020)/36525)+0.00032*COS(P185-Q185)*(1-0.002495*(J185-2415020)/36525)-0.000271*COS(R185)</f>
        <v>0.910364800363652</v>
      </c>
      <c r="AK185" s="36" t="n">
        <f aca="false">ASIN(COS($A$10*$B$5)*COS($A$10*AG185)*COS($A$10*AI185)+SIN($A$10*$B$5)*SIN($A$10*AG185))/$A$10</f>
        <v>-16.0317296587996</v>
      </c>
      <c r="AL185" s="32" t="n">
        <f aca="false">ASIN((0.9983271+0.0016764*COS($A$10*2*$B$5))*COS($A$10*AK185)*SIN($A$10*AJ185))/$A$10</f>
        <v>0.873238355655716</v>
      </c>
      <c r="AM185" s="32" t="n">
        <f aca="false">AK185-AL185</f>
        <v>-16.9049680144553</v>
      </c>
      <c r="AN185" s="35" t="n">
        <f aca="false"> MOD(280.4664567 + 360007.6982779*L185/10 + 0.03032028*L185^2/100 + L185^3/49931000,360)</f>
        <v>101.009301064059</v>
      </c>
      <c r="AO185" s="32" t="n">
        <f aca="false"> AN185 + (1.9146 - 0.004817*L185 - 0.000014*L185^2)*SIN(Q185)+ (0.019993 - 0.000101*L185)*SIN(2*Q185)+ 0.00029*SIN(3*Q185)</f>
        <v>101.085059274843</v>
      </c>
      <c r="AP185" s="32" t="n">
        <f aca="false">ACOS(COS(W185-$A$10*AO185)*COS(Y185))/$A$10</f>
        <v>42.8189542681225</v>
      </c>
      <c r="AQ185" s="34" t="n">
        <f aca="false">180 - AP185 -0.1468*(1-0.0549*SIN(Q185))*SIN($A$10*AP185)/(1-0.0167*SIN($A$10*AO185))</f>
        <v>137.079830755921</v>
      </c>
      <c r="AR185" s="64" t="n">
        <f aca="false">SIN($A$10*AI185)</f>
        <v>0.526177859086501</v>
      </c>
      <c r="AS185" s="64" t="n">
        <f aca="false">COS($A$10*AI185)*SIN($A$10*$B$5) - TAN($A$10*AG185)*COS($A$10*$B$5)</f>
        <v>-0.865802998269537</v>
      </c>
      <c r="AT185" s="24" t="n">
        <f aca="false">IF(OR(AND(AR185*AS185&gt;0), AND(AR185&lt;0,AS185&gt;0)), MOD(ATAN2(AS185,AR185)/$A$10+360,360),  ATAN2(AS185,AR185)/$A$10)</f>
        <v>148.711530202711</v>
      </c>
      <c r="AU185" s="39" t="n">
        <f aca="false"> 385000.56 + (-20905355*COS(P185) - 3699111*COS(2*R185-P185) - 2955968*COS(2*R185) - 569925*COS(2*P185) + (1-0.002516*L185)*48888*COS(Q185) - 3149*COS(2*S185)  +246158*COS(2*R185-2*P185) -(1 - 0.002516*L185)*152138*COS(2*R185-Q185-P185) -170733*COS(2*R185+P185) -(1 - 0.002516*L185)*204586*COS(2*R185-Q185) -(1 - 0.002516*L185)*129620*COS(Q185-P185)  + 108743*COS(R185) +(1-0.002516*L185)*104755*COS(Q185+P185) +10321*COS(2*R185-2*S185) +79661*COS(P185-2*S185) -34782*COS(4*R185-P185) -23210*COS(3*P185)  -21636*COS(4*R185-2*P185) +(1 - 0.002516*L185)*24208*COS(2*R185+Q185-P185) +(1 - 0.002516*L185)*30824*COS(2*R185+Q185) -8379*COS(R185-P185) -(1 - 0.002516*L185)*16675*COS(R185+Q185)  -(1 - 0.002516*L185)*12831*COS(2*R185-Q185+P185) -10445*COS(2*R185+2*P185) -11650*COS(4*R185) +14403*COS(2*R185-3*P185) -(1-0.002516*L185)*7003*COS(Q185-2*P185)  + (1 - 0.002516*L185)*10056*COS(2*R185-Q185-2*P185) +6322*COS(R185+P185) -(1 - 0.002516*L185)*(1-0.002516*L185)*9884*COS(2*R185-2*Q185) +(1-0.002516*L185)*5751*COS(Q185+2*P185) - (1-0.002516*L185)^2*4950*COS(2*R185-2*Q185-P185)  +4130*COS(2*R185+P185-2*S185) -(1-0.002516*L185)*3958*COS(4*R185-Q185-P185) +3258*COS(3*R185-P185) +(1 - 0.002516*L185)*2616*COS(2*R185+Q185+P185) -(1 - 0.002516*L185)*1897*COS(4*R185-Q185-2*P185)  -(1-0.002516*L185)^2*2117*COS(2*Q185-P185) +(1-0.002516*L185)^2*2354*COS(2*R185+2*Q185-P185) -1423*COS(4*R185+P185) -1117*COS(4*P185) -(1-0.002516*L185)*1571*COS(4*R185-Q185)  -1739*COS(R185-2*P185) -4421*COS(2*P185-2*S185) +(1-0.002516*L185)^2*1165*COS(2*Q185+P185) +8752*COS(2*R185-P185-2*S185))/1000</f>
        <v>401571.149099744</v>
      </c>
      <c r="AV185" s="54" t="n">
        <f aca="false">ATAN(0.99664719*TAN($A$10*input!$E$2))</f>
        <v>0.871010436227447</v>
      </c>
      <c r="AW185" s="54" t="n">
        <f aca="false">COS(AV185)</f>
        <v>0.644053912545845</v>
      </c>
      <c r="AX185" s="54" t="n">
        <f aca="false">0.99664719*SIN(AV185)</f>
        <v>0.762415269897027</v>
      </c>
      <c r="AY185" s="54" t="n">
        <f aca="false">6378.14/AU185</f>
        <v>0.0158829637395483</v>
      </c>
      <c r="AZ185" s="55" t="n">
        <f aca="false">M185-15*AH185</f>
        <v>148.252429958093</v>
      </c>
      <c r="BA185" s="56" t="n">
        <f aca="false">COS($A$10*AG185)*SIN($A$10*AZ185)</f>
        <v>0.499149170276615</v>
      </c>
      <c r="BB185" s="56" t="n">
        <f aca="false">COS($A$10*AG185)*COS($A$10*AZ185)-AW185*AY185</f>
        <v>-0.816922011844911</v>
      </c>
      <c r="BC185" s="56" t="n">
        <f aca="false">SIN($A$10*AG185)-AX185*AY185</f>
        <v>0.304272116422048</v>
      </c>
      <c r="BD185" s="57" t="n">
        <f aca="false">SQRT(BA185^2+BB185^2+BC185^2)</f>
        <v>1.00453620564742</v>
      </c>
      <c r="BE185" s="58" t="n">
        <f aca="false">AU185*BD185</f>
        <v>403392.758414133</v>
      </c>
    </row>
    <row r="186" customFormat="false" ht="15" hidden="false" customHeight="false" outlineLevel="0" collapsed="false">
      <c r="D186" s="41" t="n">
        <f aca="false">K186-INT(275*E186/9)+IF($A$8="common year",2,1)*INT((E186+9)/12)+30</f>
        <v>4</v>
      </c>
      <c r="E186" s="41" t="n">
        <f aca="false">IF(K186&lt;32,1,INT(9*(IF($A$8="common year",2,1)+K186)/275+0.98))</f>
        <v>7</v>
      </c>
      <c r="F186" s="42" t="n">
        <f aca="false">AM186</f>
        <v>-16.8437163629577</v>
      </c>
      <c r="G186" s="60" t="n">
        <f aca="false">F186+1.02/(TAN($A$10*(F186+10.3/(F186+5.11)))*60)</f>
        <v>-16.8969153803735</v>
      </c>
      <c r="H186" s="43" t="n">
        <f aca="false">100*(1+COS($A$10*AQ186))/2</f>
        <v>20.6708424816056</v>
      </c>
      <c r="I186" s="43" t="n">
        <f aca="false">IF(AI186&gt;180,AT186-180,AT186+180)</f>
        <v>316.985629471659</v>
      </c>
      <c r="J186" s="61" t="n">
        <f aca="false">$J$2+K185</f>
        <v>2459764.5</v>
      </c>
      <c r="K186" s="21" t="n">
        <v>185</v>
      </c>
      <c r="L186" s="62" t="n">
        <f aca="false">(J186-2451545)/36525</f>
        <v>0.225037645448323</v>
      </c>
      <c r="M186" s="63" t="n">
        <f aca="false">MOD(280.46061837+360.98564736629*(J186-2451545)+0.000387933*L186^2-L186^3/38710000+$B$7,360)</f>
        <v>296.989165236242</v>
      </c>
      <c r="N186" s="30" t="n">
        <f aca="false">0.606433+1336.855225*L186 - INT(0.606433+1336.855225*L186)</f>
        <v>0.449185139288147</v>
      </c>
      <c r="O186" s="35" t="n">
        <f aca="false">22640*SIN(P186)-4586*SIN(P186-2*R186)+2370*SIN(2*R186)+769*SIN(2*P186)-668*SIN(Q186)-412*SIN(2*S186)-212*SIN(2*P186-2*R186)-206*SIN(P186+Q186-2*R186)+192*SIN(P186+2*R186)-165*SIN(Q186-2*R186)-125*SIN(R186)-110*SIN(P186+Q186)+148*SIN(P186-Q186)-55*SIN(2*S186-2*R186)</f>
        <v>-21093.7406479623</v>
      </c>
      <c r="P186" s="32" t="n">
        <f aca="false">2*PI()*(0.374897+1325.55241*L186 - INT(0.374897+1325.55241*L186))</f>
        <v>4.23543404719084</v>
      </c>
      <c r="Q186" s="36" t="n">
        <f aca="false">2*PI()*(0.993133+99.997361*L186 - INT(0.993133+99.997361*L186))</f>
        <v>3.11836793029673</v>
      </c>
      <c r="R186" s="36" t="n">
        <f aca="false">2*PI()*(0.827361+1236.853086*L186 - INT(0.827361+1236.853086*L186))</f>
        <v>1.04217459860129</v>
      </c>
      <c r="S186" s="36" t="n">
        <f aca="false">2*PI()*(0.259086+1342.227825*L186 - INT(0.259086+1342.227825*L186))</f>
        <v>1.95328770306743</v>
      </c>
      <c r="T186" s="36" t="n">
        <f aca="false">S186+(O186+412*SIN(2*S186)+541*SIN(Q186))/206264.8062</f>
        <v>1.84970000086534</v>
      </c>
      <c r="U186" s="36" t="n">
        <f aca="false">S186-2*R186</f>
        <v>-0.131061494135156</v>
      </c>
      <c r="V186" s="34" t="n">
        <f aca="false">-526*SIN(U186)+44*SIN(P186+U186)-31*SIN(-P186+U186)-23*SIN(Q186+U186)+11*SIN(-Q186+U186)-25*SIN(-2*P186+S186)+21*SIN(-P186+S186)</f>
        <v>-8.98859874677982</v>
      </c>
      <c r="W186" s="36" t="n">
        <f aca="false">2*PI()*(N186+O186/1296000-INT(N186+O186/1296000))</f>
        <v>2.72004812685962</v>
      </c>
      <c r="X186" s="35" t="n">
        <f aca="false">W186*180/PI()</f>
        <v>155.847277741521</v>
      </c>
      <c r="Y186" s="36" t="n">
        <f aca="false">(18520*SIN(T186)+V186)/206264.8062</f>
        <v>0.0862743327960202</v>
      </c>
      <c r="Z186" s="36" t="n">
        <f aca="false">Y186*180/PI()</f>
        <v>4.94315514951906</v>
      </c>
      <c r="AA186" s="36" t="n">
        <f aca="false">COS(Y186)*COS(W186)</f>
        <v>-0.909064328846514</v>
      </c>
      <c r="AB186" s="36" t="n">
        <f aca="false">COS(Y186)*SIN(W186)</f>
        <v>0.407648420304967</v>
      </c>
      <c r="AC186" s="36" t="n">
        <f aca="false">SIN(Y186)</f>
        <v>0.0861673455649059</v>
      </c>
      <c r="AD186" s="36" t="n">
        <f aca="false">COS($A$10*(23.4393-46.815*L186/3600))*AB186-SIN($A$10*(23.4393-46.815*L186/3600))*AC186</f>
        <v>0.339746993747785</v>
      </c>
      <c r="AE186" s="36" t="n">
        <f aca="false">SIN($A$10*(23.4393-46.815*L186/3600))*AB186+COS($A$10*(23.4393-46.815*L186/3600))*AC186</f>
        <v>0.241192923316956</v>
      </c>
      <c r="AF186" s="36" t="n">
        <f aca="false">SQRT(1-AE186*AE186)</f>
        <v>0.970477188676695</v>
      </c>
      <c r="AG186" s="35" t="n">
        <f aca="false">ATAN(AE186/AF186)/$A$10</f>
        <v>13.9569583510823</v>
      </c>
      <c r="AH186" s="36" t="n">
        <f aca="false">IF(24*ATAN(AD186/(AA186+AF186))/PI()&gt;0,24*ATAN(AD186/(AA186+AF186))/PI(),24*ATAN(AD186/(AA186+AF186))/PI()+24)</f>
        <v>10.6338429464623</v>
      </c>
      <c r="AI186" s="63" t="n">
        <f aca="false">IF(M186-15*AH186&gt;0,M186-15*AH186,360+M186-15*AH186)</f>
        <v>137.481521039308</v>
      </c>
      <c r="AJ186" s="32" t="n">
        <f aca="false">0.950724+0.051818*COS(P186)+0.009531*COS(2*R186-P186)+0.007843*COS(2*R186)+0.002824*COS(2*P186)+0.000857*COS(2*R186+P186)+0.000533*COS(2*R186-Q186)*(1-0.002495*(J186-2415020)/36525)+0.000401*COS(2*R186-Q186-P186)*(1-0.002495*(J186-2415020)/36525)+0.00032*COS(P186-Q186)*(1-0.002495*(J186-2415020)/36525)-0.000271*COS(R186)</f>
        <v>0.917566000387638</v>
      </c>
      <c r="AK186" s="36" t="n">
        <f aca="false">ASIN(COS($A$10*$B$5)*COS($A$10*AG186)*COS($A$10*AI186)+SIN($A$10*$B$5)*SIN($A$10*AG186))/$A$10</f>
        <v>-15.9632689501653</v>
      </c>
      <c r="AL186" s="32" t="n">
        <f aca="false">ASIN((0.9983271+0.0016764*COS($A$10*2*$B$5))*COS($A$10*AK186)*SIN($A$10*AJ186))/$A$10</f>
        <v>0.880447412792384</v>
      </c>
      <c r="AM186" s="32" t="n">
        <f aca="false">AK186-AL186</f>
        <v>-16.8437163629577</v>
      </c>
      <c r="AN186" s="35" t="n">
        <f aca="false"> MOD(280.4664567 + 360007.6982779*L186/10 + 0.03032028*L186^2/100 + L186^3/49931000,360)</f>
        <v>101.994948427899</v>
      </c>
      <c r="AO186" s="32" t="n">
        <f aca="false"> AN186 + (1.9146 - 0.004817*L186 - 0.000014*L186^2)*SIN(Q186)+ (0.019993 - 0.000101*L186)*SIN(2*Q186)+ 0.00029*SIN(3*Q186)</f>
        <v>102.038478210511</v>
      </c>
      <c r="AP186" s="32" t="n">
        <f aca="false">ACOS(COS(W186-$A$10*AO186)*COS(Y186))/$A$10</f>
        <v>53.9645612641702</v>
      </c>
      <c r="AQ186" s="34" t="n">
        <f aca="false">180 - AP186 -0.1468*(1-0.0549*SIN(Q186))*SIN($A$10*AP186)/(1-0.0167*SIN($A$10*AO186))</f>
        <v>125.914911237589</v>
      </c>
      <c r="AR186" s="64" t="n">
        <f aca="false">SIN($A$10*AI186)</f>
        <v>0.675827958207605</v>
      </c>
      <c r="AS186" s="64" t="n">
        <f aca="false">COS($A$10*AI186)*SIN($A$10*$B$5) - TAN($A$10*AG186)*COS($A$10*$B$5)</f>
        <v>-0.724372419132872</v>
      </c>
      <c r="AT186" s="24" t="n">
        <f aca="false">IF(OR(AND(AR186*AS186&gt;0), AND(AR186&lt;0,AS186&gt;0)), MOD(ATAN2(AS186,AR186)/$A$10+360,360),  ATAN2(AS186,AR186)/$A$10)</f>
        <v>136.985629471659</v>
      </c>
      <c r="AU186" s="39" t="n">
        <f aca="false"> 385000.56 + (-20905355*COS(P186) - 3699111*COS(2*R186-P186) - 2955968*COS(2*R186) - 569925*COS(2*P186) + (1-0.002516*L186)*48888*COS(Q186) - 3149*COS(2*S186)  +246158*COS(2*R186-2*P186) -(1 - 0.002516*L186)*152138*COS(2*R186-Q186-P186) -170733*COS(2*R186+P186) -(1 - 0.002516*L186)*204586*COS(2*R186-Q186) -(1 - 0.002516*L186)*129620*COS(Q186-P186)  + 108743*COS(R186) +(1-0.002516*L186)*104755*COS(Q186+P186) +10321*COS(2*R186-2*S186) +79661*COS(P186-2*S186) -34782*COS(4*R186-P186) -23210*COS(3*P186)  -21636*COS(4*R186-2*P186) +(1 - 0.002516*L186)*24208*COS(2*R186+Q186-P186) +(1 - 0.002516*L186)*30824*COS(2*R186+Q186) -8379*COS(R186-P186) -(1 - 0.002516*L186)*16675*COS(R186+Q186)  -(1 - 0.002516*L186)*12831*COS(2*R186-Q186+P186) -10445*COS(2*R186+2*P186) -11650*COS(4*R186) +14403*COS(2*R186-3*P186) -(1-0.002516*L186)*7003*COS(Q186-2*P186)  + (1 - 0.002516*L186)*10056*COS(2*R186-Q186-2*P186) +6322*COS(R186+P186) -(1 - 0.002516*L186)*(1-0.002516*L186)*9884*COS(2*R186-2*Q186) +(1-0.002516*L186)*5751*COS(Q186+2*P186) - (1-0.002516*L186)^2*4950*COS(2*R186-2*Q186-P186)  +4130*COS(2*R186+P186-2*S186) -(1-0.002516*L186)*3958*COS(4*R186-Q186-P186) +3258*COS(3*R186-P186) +(1 - 0.002516*L186)*2616*COS(2*R186+Q186+P186) -(1 - 0.002516*L186)*1897*COS(4*R186-Q186-2*P186)  -(1-0.002516*L186)^2*2117*COS(2*Q186-P186) +(1-0.002516*L186)^2*2354*COS(2*R186+2*Q186-P186) -1423*COS(4*R186+P186) -1117*COS(4*P186) -(1-0.002516*L186)*1571*COS(4*R186-Q186)  -1739*COS(R186-2*P186) -4421*COS(2*P186-2*S186) +(1-0.002516*L186)^2*1165*COS(2*Q186+P186) +8752*COS(2*R186-P186-2*S186))/1000</f>
        <v>398392.594201037</v>
      </c>
      <c r="AV186" s="54" t="n">
        <f aca="false">ATAN(0.99664719*TAN($A$10*input!$E$2))</f>
        <v>0.871010436227447</v>
      </c>
      <c r="AW186" s="54" t="n">
        <f aca="false">COS(AV186)</f>
        <v>0.644053912545845</v>
      </c>
      <c r="AX186" s="54" t="n">
        <f aca="false">0.99664719*SIN(AV186)</f>
        <v>0.762415269897027</v>
      </c>
      <c r="AY186" s="54" t="n">
        <f aca="false">6378.14/AU186</f>
        <v>0.0160096851518818</v>
      </c>
      <c r="AZ186" s="55" t="n">
        <f aca="false">M186-15*AH186</f>
        <v>137.481521039308</v>
      </c>
      <c r="BA186" s="56" t="n">
        <f aca="false">COS($A$10*AG186)*SIN($A$10*AZ186)</f>
        <v>0.655875616910427</v>
      </c>
      <c r="BB186" s="56" t="n">
        <f aca="false">COS($A$10*AG186)*COS($A$10*AZ186)-AW186*AY186</f>
        <v>-0.725610442513468</v>
      </c>
      <c r="BC186" s="56" t="n">
        <f aca="false">SIN($A$10*AG186)-AX186*AY186</f>
        <v>0.228986894890918</v>
      </c>
      <c r="BD186" s="57" t="n">
        <f aca="false">SQRT(BA186^2+BB186^2+BC186^2)</f>
        <v>1.00454882269306</v>
      </c>
      <c r="BE186" s="58" t="n">
        <f aca="false">AU186*BD186</f>
        <v>400204.811474285</v>
      </c>
    </row>
    <row r="187" customFormat="false" ht="15" hidden="false" customHeight="false" outlineLevel="0" collapsed="false">
      <c r="D187" s="41" t="n">
        <f aca="false">K187-INT(275*E187/9)+IF($A$8="common year",2,1)*INT((E187+9)/12)+30</f>
        <v>5</v>
      </c>
      <c r="E187" s="41" t="n">
        <f aca="false">IF(K187&lt;32,1,INT(9*(IF($A$8="common year",2,1)+K187)/275+0.98))</f>
        <v>7</v>
      </c>
      <c r="F187" s="42" t="n">
        <f aca="false">AM187</f>
        <v>-16.2315162826859</v>
      </c>
      <c r="G187" s="60" t="n">
        <f aca="false">F187+1.02/(TAN($A$10*(F187+10.3/(F187+5.11)))*60)</f>
        <v>-16.2865784556762</v>
      </c>
      <c r="H187" s="43" t="n">
        <f aca="false">100*(1+COS($A$10*AQ187))/2</f>
        <v>29.222358616452</v>
      </c>
      <c r="I187" s="43" t="n">
        <f aca="false">IF(AI187&gt;180,AT187-180,AT187+180)</f>
        <v>305.096947414019</v>
      </c>
      <c r="J187" s="61" t="n">
        <f aca="false">$J$2+K186</f>
        <v>2459765.5</v>
      </c>
      <c r="K187" s="21" t="n">
        <v>186</v>
      </c>
      <c r="L187" s="62" t="n">
        <f aca="false">(J187-2451545)/36525</f>
        <v>0.225065023956194</v>
      </c>
      <c r="M187" s="63" t="n">
        <f aca="false">MOD(280.46061837+360.98564736629*(J187-2451545)+0.000387933*L187^2-L187^3/38710000+$B$7,360)</f>
        <v>297.974812606815</v>
      </c>
      <c r="N187" s="30" t="n">
        <f aca="false">0.606433+1336.855225*L187 - INT(0.606433+1336.855225*L187)</f>
        <v>0.485786240588595</v>
      </c>
      <c r="O187" s="35" t="n">
        <f aca="false">22640*SIN(P187)-4586*SIN(P187-2*R187)+2370*SIN(2*R187)+769*SIN(2*P187)-668*SIN(Q187)-412*SIN(2*S187)-212*SIN(2*P187-2*R187)-206*SIN(P187+Q187-2*R187)+192*SIN(P187+2*R187)-165*SIN(Q187-2*R187)-125*SIN(R187)-110*SIN(P187+Q187)+148*SIN(P187-Q187)-55*SIN(2*S187-2*R187)</f>
        <v>-23991.1580223236</v>
      </c>
      <c r="P187" s="32" t="n">
        <f aca="false">2*PI()*(0.374897+1325.55241*L187 - INT(0.374897+1325.55241*L187))</f>
        <v>4.46346119096666</v>
      </c>
      <c r="Q187" s="36" t="n">
        <f aca="false">2*PI()*(0.993133+99.997361*L187 - INT(0.993133+99.997361*L187))</f>
        <v>3.13556990016372</v>
      </c>
      <c r="R187" s="36" t="n">
        <f aca="false">2*PI()*(0.827361+1236.853086*L187 - INT(0.827361+1236.853086*L187))</f>
        <v>1.25494330872032</v>
      </c>
      <c r="S187" s="36" t="n">
        <f aca="false">2*PI()*(0.259086+1342.227825*L187 - INT(0.259086+1342.227825*L187))</f>
        <v>2.18418342240844</v>
      </c>
      <c r="T187" s="36" t="n">
        <f aca="false">S187+(O187+412*SIN(2*S187)+541*SIN(Q187))/206264.8062</f>
        <v>2.06600640842677</v>
      </c>
      <c r="U187" s="36" t="n">
        <f aca="false">S187-2*R187</f>
        <v>-0.325703195032201</v>
      </c>
      <c r="V187" s="34" t="n">
        <f aca="false">-526*SIN(U187)+44*SIN(P187+U187)-31*SIN(-P187+U187)-23*SIN(Q187+U187)+11*SIN(-Q187+U187)-25*SIN(-2*P187+S187)+21*SIN(-P187+S187)</f>
        <v>91.5736247155898</v>
      </c>
      <c r="W187" s="36" t="n">
        <f aca="false">2*PI()*(N187+O187/1296000-INT(N187+O187/1296000))</f>
        <v>2.93597255294744</v>
      </c>
      <c r="X187" s="35" t="n">
        <f aca="false">W187*180/PI()</f>
        <v>168.218836050138</v>
      </c>
      <c r="Y187" s="36" t="n">
        <f aca="false">(18520*SIN(T187)+V187)/206264.8062</f>
        <v>0.0794451843816554</v>
      </c>
      <c r="Z187" s="36" t="n">
        <f aca="false">Y187*180/PI()</f>
        <v>4.5518737677075</v>
      </c>
      <c r="AA187" s="36" t="n">
        <f aca="false">COS(Y187)*COS(W187)</f>
        <v>-0.975846897652039</v>
      </c>
      <c r="AB187" s="36" t="n">
        <f aca="false">COS(Y187)*SIN(W187)</f>
        <v>0.203530249233975</v>
      </c>
      <c r="AC187" s="36" t="n">
        <f aca="false">SIN(Y187)</f>
        <v>0.0793616405428113</v>
      </c>
      <c r="AD187" s="36" t="n">
        <f aca="false">COS($A$10*(23.4393-46.815*L187/3600))*AB187-SIN($A$10*(23.4393-46.815*L187/3600))*AC187</f>
        <v>0.155174936048255</v>
      </c>
      <c r="AE187" s="36" t="n">
        <f aca="false">SIN($A$10*(23.4393-46.815*L187/3600))*AB187+COS($A$10*(23.4393-46.815*L187/3600))*AC187</f>
        <v>0.153764662927834</v>
      </c>
      <c r="AF187" s="36" t="n">
        <f aca="false">SQRT(1-AE187*AE187)</f>
        <v>0.988107498420435</v>
      </c>
      <c r="AG187" s="35" t="n">
        <f aca="false">ATAN(AE187/AF187)/$A$10</f>
        <v>8.84515778700014</v>
      </c>
      <c r="AH187" s="36" t="n">
        <f aca="false">IF(24*ATAN(AD187/(AA187+AF187))/PI()&gt;0,24*ATAN(AD187/(AA187+AF187))/PI(),24*ATAN(AD187/(AA187+AF187))/PI()+24)</f>
        <v>11.3976481607974</v>
      </c>
      <c r="AI187" s="63" t="n">
        <f aca="false">IF(M187-15*AH187&gt;0,M187-15*AH187,360+M187-15*AH187)</f>
        <v>127.010090194854</v>
      </c>
      <c r="AJ187" s="32" t="n">
        <f aca="false">0.950724+0.051818*COS(P187)+0.009531*COS(2*R187-P187)+0.007843*COS(2*R187)+0.002824*COS(2*P187)+0.000857*COS(2*R187+P187)+0.000533*COS(2*R187-Q187)*(1-0.002495*(J187-2415020)/36525)+0.000401*COS(2*R187-Q187-P187)*(1-0.002495*(J187-2415020)/36525)+0.00032*COS(P187-Q187)*(1-0.002495*(J187-2415020)/36525)-0.000271*COS(R187)</f>
        <v>0.926818593610536</v>
      </c>
      <c r="AK187" s="36" t="n">
        <f aca="false">ASIN(COS($A$10*$B$5)*COS($A$10*AG187)*COS($A$10*AI187)+SIN($A$10*$B$5)*SIN($A$10*AG187))/$A$10</f>
        <v>-15.3394735277208</v>
      </c>
      <c r="AL187" s="32" t="n">
        <f aca="false">ASIN((0.9983271+0.0016764*COS($A$10*2*$B$5))*COS($A$10*AK187)*SIN($A$10*AJ187))/$A$10</f>
        <v>0.892042754965073</v>
      </c>
      <c r="AM187" s="32" t="n">
        <f aca="false">AK187-AL187</f>
        <v>-16.2315162826859</v>
      </c>
      <c r="AN187" s="35" t="n">
        <f aca="false"> MOD(280.4664567 + 360007.6982779*L187/10 + 0.03032028*L187^2/100 + L187^3/49931000,360)</f>
        <v>102.98059579174</v>
      </c>
      <c r="AO187" s="32" t="n">
        <f aca="false"> AN187 + (1.9146 - 0.004817*L187 - 0.000014*L187^2)*SIN(Q187)+ (0.019993 - 0.000101*L187)*SIN(2*Q187)+ 0.00029*SIN(3*Q187)</f>
        <v>102.99188504533</v>
      </c>
      <c r="AP187" s="32" t="n">
        <f aca="false">ACOS(COS(W187-$A$10*AO187)*COS(Y187))/$A$10</f>
        <v>65.3103229519019</v>
      </c>
      <c r="AQ187" s="34" t="n">
        <f aca="false">180 - AP187 -0.1468*(1-0.0549*SIN(Q187))*SIN($A$10*AP187)/(1-0.0167*SIN($A$10*AO187))</f>
        <v>114.55413549792</v>
      </c>
      <c r="AR187" s="64" t="n">
        <f aca="false">SIN($A$10*AI187)</f>
        <v>0.798529513751588</v>
      </c>
      <c r="AS187" s="64" t="n">
        <f aca="false">COS($A$10*AI187)*SIN($A$10*$B$5) - TAN($A$10*AG187)*COS($A$10*$B$5)</f>
        <v>-0.561152386260857</v>
      </c>
      <c r="AT187" s="24" t="n">
        <f aca="false">IF(OR(AND(AR187*AS187&gt;0), AND(AR187&lt;0,AS187&gt;0)), MOD(ATAN2(AS187,AR187)/$A$10+360,360),  ATAN2(AS187,AR187)/$A$10)</f>
        <v>125.096947414019</v>
      </c>
      <c r="AU187" s="39" t="n">
        <f aca="false"> 385000.56 + (-20905355*COS(P187) - 3699111*COS(2*R187-P187) - 2955968*COS(2*R187) - 569925*COS(2*P187) + (1-0.002516*L187)*48888*COS(Q187) - 3149*COS(2*S187)  +246158*COS(2*R187-2*P187) -(1 - 0.002516*L187)*152138*COS(2*R187-Q187-P187) -170733*COS(2*R187+P187) -(1 - 0.002516*L187)*204586*COS(2*R187-Q187) -(1 - 0.002516*L187)*129620*COS(Q187-P187)  + 108743*COS(R187) +(1-0.002516*L187)*104755*COS(Q187+P187) +10321*COS(2*R187-2*S187) +79661*COS(P187-2*S187) -34782*COS(4*R187-P187) -23210*COS(3*P187)  -21636*COS(4*R187-2*P187) +(1 - 0.002516*L187)*24208*COS(2*R187+Q187-P187) +(1 - 0.002516*L187)*30824*COS(2*R187+Q187) -8379*COS(R187-P187) -(1 - 0.002516*L187)*16675*COS(R187+Q187)  -(1 - 0.002516*L187)*12831*COS(2*R187-Q187+P187) -10445*COS(2*R187+2*P187) -11650*COS(4*R187) +14403*COS(2*R187-3*P187) -(1-0.002516*L187)*7003*COS(Q187-2*P187)  + (1 - 0.002516*L187)*10056*COS(2*R187-Q187-2*P187) +6322*COS(R187+P187) -(1 - 0.002516*L187)*(1-0.002516*L187)*9884*COS(2*R187-2*Q187) +(1-0.002516*L187)*5751*COS(Q187+2*P187) - (1-0.002516*L187)^2*4950*COS(2*R187-2*Q187-P187)  +4130*COS(2*R187+P187-2*S187) -(1-0.002516*L187)*3958*COS(4*R187-Q187-P187) +3258*COS(3*R187-P187) +(1 - 0.002516*L187)*2616*COS(2*R187+Q187+P187) -(1 - 0.002516*L187)*1897*COS(4*R187-Q187-2*P187)  -(1-0.002516*L187)^2*2117*COS(2*Q187-P187) +(1-0.002516*L187)^2*2354*COS(2*R187+2*Q187-P187) -1423*COS(4*R187+P187) -1117*COS(4*P187) -(1-0.002516*L187)*1571*COS(4*R187-Q187)  -1739*COS(R187-2*P187) -4421*COS(2*P187-2*S187) +(1-0.002516*L187)^2*1165*COS(2*Q187+P187) +8752*COS(2*R187-P187-2*S187))/1000</f>
        <v>394397.713933049</v>
      </c>
      <c r="AV187" s="54" t="n">
        <f aca="false">ATAN(0.99664719*TAN($A$10*input!$E$2))</f>
        <v>0.871010436227447</v>
      </c>
      <c r="AW187" s="54" t="n">
        <f aca="false">COS(AV187)</f>
        <v>0.644053912545845</v>
      </c>
      <c r="AX187" s="54" t="n">
        <f aca="false">0.99664719*SIN(AV187)</f>
        <v>0.762415269897027</v>
      </c>
      <c r="AY187" s="54" t="n">
        <f aca="false">6378.14/AU187</f>
        <v>0.0161718483010343</v>
      </c>
      <c r="AZ187" s="55" t="n">
        <f aca="false">M187-15*AH187</f>
        <v>127.010090194854</v>
      </c>
      <c r="BA187" s="56" t="n">
        <f aca="false">COS($A$10*AG187)*SIN($A$10*AZ187)</f>
        <v>0.789033000247968</v>
      </c>
      <c r="BB187" s="56" t="n">
        <f aca="false">COS($A$10*AG187)*COS($A$10*AZ187)-AW187*AY187</f>
        <v>-0.605212442763825</v>
      </c>
      <c r="BC187" s="56" t="n">
        <f aca="false">SIN($A$10*AG187)-AX187*AY187</f>
        <v>0.141434998840667</v>
      </c>
      <c r="BD187" s="57" t="n">
        <f aca="false">SQRT(BA187^2+BB187^2+BC187^2)</f>
        <v>1.00441975052939</v>
      </c>
      <c r="BE187" s="58" t="n">
        <f aca="false">AU187*BD187</f>
        <v>396140.853437996</v>
      </c>
    </row>
    <row r="188" customFormat="false" ht="15" hidden="false" customHeight="false" outlineLevel="0" collapsed="false">
      <c r="D188" s="41" t="n">
        <f aca="false">K188-INT(275*E188/9)+IF($A$8="common year",2,1)*INT((E188+9)/12)+30</f>
        <v>6</v>
      </c>
      <c r="E188" s="41" t="n">
        <f aca="false">IF(K188&lt;32,1,INT(9*(IF($A$8="common year",2,1)+K188)/275+0.98))</f>
        <v>7</v>
      </c>
      <c r="F188" s="42" t="n">
        <f aca="false">AM188</f>
        <v>-15.0224533432388</v>
      </c>
      <c r="G188" s="60" t="n">
        <f aca="false">F188+1.02/(TAN($A$10*(F188+10.3/(F188+5.11)))*60)</f>
        <v>-15.0814999158601</v>
      </c>
      <c r="H188" s="43" t="n">
        <f aca="false">100*(1+COS($A$10*AQ188))/2</f>
        <v>38.8042691351276</v>
      </c>
      <c r="I188" s="43" t="n">
        <f aca="false">IF(AI188&gt;180,AT188-180,AT188+180)</f>
        <v>293.043347974951</v>
      </c>
      <c r="J188" s="61" t="n">
        <f aca="false">$J$2+K187</f>
        <v>2459766.5</v>
      </c>
      <c r="K188" s="21" t="n">
        <v>187</v>
      </c>
      <c r="L188" s="62" t="n">
        <f aca="false">(J188-2451545)/36525</f>
        <v>0.225092402464066</v>
      </c>
      <c r="M188" s="63" t="n">
        <f aca="false">MOD(280.46061837+360.98564736629*(J188-2451545)+0.000387933*L188^2-L188^3/38710000+$B$7,360)</f>
        <v>298.960459977854</v>
      </c>
      <c r="N188" s="30" t="n">
        <f aca="false">0.606433+1336.855225*L188 - INT(0.606433+1336.855225*L188)</f>
        <v>0.5223873418891</v>
      </c>
      <c r="O188" s="35" t="n">
        <f aca="false">22640*SIN(P188)-4586*SIN(P188-2*R188)+2370*SIN(2*R188)+769*SIN(2*P188)-668*SIN(Q188)-412*SIN(2*S188)-212*SIN(2*P188-2*R188)-206*SIN(P188+Q188-2*R188)+192*SIN(P188+2*R188)-165*SIN(Q188-2*R188)-125*SIN(R188)-110*SIN(P188+Q188)+148*SIN(P188-Q188)-55*SIN(2*S188-2*R188)</f>
        <v>-26028.3670096857</v>
      </c>
      <c r="P188" s="32" t="n">
        <f aca="false">2*PI()*(0.374897+1325.55241*L188 - INT(0.374897+1325.55241*L188))</f>
        <v>4.69148833474248</v>
      </c>
      <c r="Q188" s="36" t="n">
        <f aca="false">2*PI()*(0.993133+99.997361*L188 - INT(0.993133+99.997361*L188))</f>
        <v>3.15277187003073</v>
      </c>
      <c r="R188" s="36" t="n">
        <f aca="false">2*PI()*(0.827361+1236.853086*L188 - INT(0.827361+1236.853086*L188))</f>
        <v>1.46771201883934</v>
      </c>
      <c r="S188" s="36" t="n">
        <f aca="false">2*PI()*(0.259086+1342.227825*L188 - INT(0.259086+1342.227825*L188))</f>
        <v>2.41507914174944</v>
      </c>
      <c r="T188" s="36" t="n">
        <f aca="false">S188+(O188+412*SIN(2*S188)+541*SIN(Q188))/206264.8062</f>
        <v>2.28687714021399</v>
      </c>
      <c r="U188" s="36" t="n">
        <f aca="false">S188-2*R188</f>
        <v>-0.520344895929245</v>
      </c>
      <c r="V188" s="34" t="n">
        <f aca="false">-526*SIN(U188)+44*SIN(P188+U188)-31*SIN(-P188+U188)-23*SIN(Q188+U188)+11*SIN(-Q188+U188)-25*SIN(-2*P188+S188)+21*SIN(-P188+S188)</f>
        <v>190.781835551177</v>
      </c>
      <c r="W188" s="36" t="n">
        <f aca="false">2*PI()*(N188+O188/1296000-INT(N188+O188/1296000))</f>
        <v>3.15606738698184</v>
      </c>
      <c r="X188" s="35" t="n">
        <f aca="false">W188*180/PI()</f>
        <v>180.829341132941</v>
      </c>
      <c r="Y188" s="36" t="n">
        <f aca="false">(18520*SIN(T188)+V188)/206264.8062</f>
        <v>0.0686592031108756</v>
      </c>
      <c r="Z188" s="36" t="n">
        <f aca="false">Y188*180/PI()</f>
        <v>3.93388256298466</v>
      </c>
      <c r="AA188" s="36" t="n">
        <f aca="false">COS(Y188)*COS(W188)</f>
        <v>-0.997539372406368</v>
      </c>
      <c r="AB188" s="36" t="n">
        <f aca="false">COS(Y188)*SIN(W188)</f>
        <v>-0.0144401249659881</v>
      </c>
      <c r="AC188" s="36" t="n">
        <f aca="false">SIN(Y188)</f>
        <v>0.0686052715910113</v>
      </c>
      <c r="AD188" s="36" t="n">
        <f aca="false">COS($A$10*(23.4393-46.815*L188/3600))*AB188-SIN($A$10*(23.4393-46.815*L188/3600))*AC188</f>
        <v>-0.0405352520134227</v>
      </c>
      <c r="AE188" s="36" t="n">
        <f aca="false">SIN($A$10*(23.4393-46.815*L188/3600))*AB188+COS($A$10*(23.4393-46.815*L188/3600))*AC188</f>
        <v>0.0572022188670866</v>
      </c>
      <c r="AF188" s="36" t="n">
        <f aca="false">SQRT(1-AE188*AE188)</f>
        <v>0.998362612559526</v>
      </c>
      <c r="AG188" s="35" t="n">
        <f aca="false">ATAN(AE188/AF188)/$A$10</f>
        <v>3.27923570843731</v>
      </c>
      <c r="AH188" s="36" t="n">
        <f aca="false">IF(24*ATAN(AD188/(AA188+AF188))/PI()&gt;0,24*ATAN(AD188/(AA188+AF188))/PI(),24*ATAN(AD188/(AA188+AF188))/PI()+24)</f>
        <v>12.1551298371491</v>
      </c>
      <c r="AI188" s="63" t="n">
        <f aca="false">IF(M188-15*AH188&gt;0,M188-15*AH188,360+M188-15*AH188)</f>
        <v>116.633512420617</v>
      </c>
      <c r="AJ188" s="32" t="n">
        <f aca="false">0.950724+0.051818*COS(P188)+0.009531*COS(2*R188-P188)+0.007843*COS(2*R188)+0.002824*COS(2*P188)+0.000857*COS(2*R188+P188)+0.000533*COS(2*R188-Q188)*(1-0.002495*(J188-2415020)/36525)+0.000401*COS(2*R188-Q188-P188)*(1-0.002495*(J188-2415020)/36525)+0.00032*COS(P188-Q188)*(1-0.002495*(J188-2415020)/36525)-0.000271*COS(R188)</f>
        <v>0.93815908299358</v>
      </c>
      <c r="AK188" s="36" t="n">
        <f aca="false">ASIN(COS($A$10*$B$5)*COS($A$10*AG188)*COS($A$10*AI188)+SIN($A$10*$B$5)*SIN($A$10*AG188))/$A$10</f>
        <v>-14.1144060823354</v>
      </c>
      <c r="AL188" s="32" t="n">
        <f aca="false">ASIN((0.9983271+0.0016764*COS($A$10*2*$B$5))*COS($A$10*AK188)*SIN($A$10*AJ188))/$A$10</f>
        <v>0.908047260903394</v>
      </c>
      <c r="AM188" s="32" t="n">
        <f aca="false">AK188-AL188</f>
        <v>-15.0224533432388</v>
      </c>
      <c r="AN188" s="35" t="n">
        <f aca="false"> MOD(280.4664567 + 360007.6982779*L188/10 + 0.03032028*L188^2/100 + L188^3/49931000,360)</f>
        <v>103.966243155581</v>
      </c>
      <c r="AO188" s="32" t="n">
        <f aca="false"> AN188 + (1.9146 - 0.004817*L188 - 0.000014*L188^2)*SIN(Q188)+ (0.019993 - 0.000101*L188)*SIN(2*Q188)+ 0.00029*SIN(3*Q188)</f>
        <v>103.945288745118</v>
      </c>
      <c r="AP188" s="32" t="n">
        <f aca="false">ACOS(COS(W188-$A$10*AO188)*COS(Y188))/$A$10</f>
        <v>76.9155044445117</v>
      </c>
      <c r="AQ188" s="34" t="n">
        <f aca="false">180 - AP188 -0.1468*(1-0.0549*SIN(Q188))*SIN($A$10*AP188)/(1-0.0167*SIN($A$10*AO188))</f>
        <v>102.939061972356</v>
      </c>
      <c r="AR188" s="64" t="n">
        <f aca="false">SIN($A$10*AI188)</f>
        <v>0.893892188682704</v>
      </c>
      <c r="AS188" s="64" t="n">
        <f aca="false">COS($A$10*AI188)*SIN($A$10*$B$5) - TAN($A$10*AG188)*COS($A$10*$B$5)</f>
        <v>-0.380233119203563</v>
      </c>
      <c r="AT188" s="24" t="n">
        <f aca="false">IF(OR(AND(AR188*AS188&gt;0), AND(AR188&lt;0,AS188&gt;0)), MOD(ATAN2(AS188,AR188)/$A$10+360,360),  ATAN2(AS188,AR188)/$A$10)</f>
        <v>113.043347974951</v>
      </c>
      <c r="AU188" s="39" t="n">
        <f aca="false"> 385000.56 + (-20905355*COS(P188) - 3699111*COS(2*R188-P188) - 2955968*COS(2*R188) - 569925*COS(2*P188) + (1-0.002516*L188)*48888*COS(Q188) - 3149*COS(2*S188)  +246158*COS(2*R188-2*P188) -(1 - 0.002516*L188)*152138*COS(2*R188-Q188-P188) -170733*COS(2*R188+P188) -(1 - 0.002516*L188)*204586*COS(2*R188-Q188) -(1 - 0.002516*L188)*129620*COS(Q188-P188)  + 108743*COS(R188) +(1-0.002516*L188)*104755*COS(Q188+P188) +10321*COS(2*R188-2*S188) +79661*COS(P188-2*S188) -34782*COS(4*R188-P188) -23210*COS(3*P188)  -21636*COS(4*R188-2*P188) +(1 - 0.002516*L188)*24208*COS(2*R188+Q188-P188) +(1 - 0.002516*L188)*30824*COS(2*R188+Q188) -8379*COS(R188-P188) -(1 - 0.002516*L188)*16675*COS(R188+Q188)  -(1 - 0.002516*L188)*12831*COS(2*R188-Q188+P188) -10445*COS(2*R188+2*P188) -11650*COS(4*R188) +14403*COS(2*R188-3*P188) -(1-0.002516*L188)*7003*COS(Q188-2*P188)  + (1 - 0.002516*L188)*10056*COS(2*R188-Q188-2*P188) +6322*COS(R188+P188) -(1 - 0.002516*L188)*(1-0.002516*L188)*9884*COS(2*R188-2*Q188) +(1-0.002516*L188)*5751*COS(Q188+2*P188) - (1-0.002516*L188)^2*4950*COS(2*R188-2*Q188-P188)  +4130*COS(2*R188+P188-2*S188) -(1-0.002516*L188)*3958*COS(4*R188-Q188-P188) +3258*COS(3*R188-P188) +(1 - 0.002516*L188)*2616*COS(2*R188+Q188+P188) -(1 - 0.002516*L188)*1897*COS(4*R188-Q188-2*P188)  -(1-0.002516*L188)^2*2117*COS(2*Q188-P188) +(1-0.002516*L188)^2*2354*COS(2*R188+2*Q188-P188) -1423*COS(4*R188+P188) -1117*COS(4*P188) -(1-0.002516*L188)*1571*COS(4*R188-Q188)  -1739*COS(R188-2*P188) -4421*COS(2*P188-2*S188) +(1-0.002516*L188)^2*1165*COS(2*Q188+P188) +8752*COS(2*R188-P188-2*S188))/1000</f>
        <v>389639.223429059</v>
      </c>
      <c r="AV188" s="54" t="n">
        <f aca="false">ATAN(0.99664719*TAN($A$10*input!$E$2))</f>
        <v>0.871010436227447</v>
      </c>
      <c r="AW188" s="54" t="n">
        <f aca="false">COS(AV188)</f>
        <v>0.644053912545845</v>
      </c>
      <c r="AX188" s="54" t="n">
        <f aca="false">0.99664719*SIN(AV188)</f>
        <v>0.762415269897027</v>
      </c>
      <c r="AY188" s="54" t="n">
        <f aca="false">6378.14/AU188</f>
        <v>0.0163693478902574</v>
      </c>
      <c r="AZ188" s="55" t="n">
        <f aca="false">M188-15*AH188</f>
        <v>116.633512420617</v>
      </c>
      <c r="BA188" s="56" t="n">
        <f aca="false">COS($A$10*AG188)*SIN($A$10*AZ188)</f>
        <v>0.892428540839817</v>
      </c>
      <c r="BB188" s="56" t="n">
        <f aca="false">COS($A$10*AG188)*COS($A$10*AZ188)-AW188*AY188</f>
        <v>-0.458090735122043</v>
      </c>
      <c r="BC188" s="56" t="n">
        <f aca="false">SIN($A$10*AG188)-AX188*AY188</f>
        <v>0.0447219780772976</v>
      </c>
      <c r="BD188" s="57" t="n">
        <f aca="false">SQRT(BA188^2+BB188^2+BC188^2)</f>
        <v>1.00412941269205</v>
      </c>
      <c r="BE188" s="58" t="n">
        <f aca="false">AU188*BD188</f>
        <v>391248.204583608</v>
      </c>
    </row>
    <row r="189" customFormat="false" ht="15" hidden="false" customHeight="false" outlineLevel="0" collapsed="false">
      <c r="D189" s="41" t="n">
        <f aca="false">K189-INT(275*E189/9)+IF($A$8="common year",2,1)*INT((E189+9)/12)+30</f>
        <v>7</v>
      </c>
      <c r="E189" s="41" t="n">
        <f aca="false">IF(K189&lt;32,1,INT(9*(IF($A$8="common year",2,1)+K189)/275+0.98))</f>
        <v>7</v>
      </c>
      <c r="F189" s="42" t="n">
        <f aca="false">AM189</f>
        <v>-13.182236911422</v>
      </c>
      <c r="G189" s="60" t="n">
        <f aca="false">F189+1.02/(TAN($A$10*(F189+10.3/(F189+5.11)))*60)</f>
        <v>-13.2481693558909</v>
      </c>
      <c r="H189" s="43" t="n">
        <f aca="false">100*(1+COS($A$10*AQ189))/2</f>
        <v>49.1245524639977</v>
      </c>
      <c r="I189" s="43" t="n">
        <f aca="false">IF(AI189&gt;180,AT189-180,AT189+180)</f>
        <v>280.816921468858</v>
      </c>
      <c r="J189" s="61" t="n">
        <f aca="false">$J$2+K188</f>
        <v>2459767.5</v>
      </c>
      <c r="K189" s="21" t="n">
        <v>188</v>
      </c>
      <c r="L189" s="62" t="n">
        <f aca="false">(J189-2451545)/36525</f>
        <v>0.225119780971937</v>
      </c>
      <c r="M189" s="63" t="n">
        <f aca="false">MOD(280.46061837+360.98564736629*(J189-2451545)+0.000387933*L189^2-L189^3/38710000+$B$7,360)</f>
        <v>299.946107349359</v>
      </c>
      <c r="N189" s="30" t="n">
        <f aca="false">0.606433+1336.855225*L189 - INT(0.606433+1336.855225*L189)</f>
        <v>0.558988443189548</v>
      </c>
      <c r="O189" s="35" t="n">
        <f aca="false">22640*SIN(P189)-4586*SIN(P189-2*R189)+2370*SIN(2*R189)+769*SIN(2*P189)-668*SIN(Q189)-412*SIN(2*S189)-212*SIN(2*P189-2*R189)-206*SIN(P189+Q189-2*R189)+192*SIN(P189+2*R189)-165*SIN(Q189-2*R189)-125*SIN(R189)-110*SIN(P189+Q189)+148*SIN(P189-Q189)-55*SIN(2*S189-2*R189)</f>
        <v>-26969.3397301244</v>
      </c>
      <c r="P189" s="32" t="n">
        <f aca="false">2*PI()*(0.374897+1325.55241*L189 - INT(0.374897+1325.55241*L189))</f>
        <v>4.91951547851794</v>
      </c>
      <c r="Q189" s="36" t="n">
        <f aca="false">2*PI()*(0.993133+99.997361*L189 - INT(0.993133+99.997361*L189))</f>
        <v>3.16997383989771</v>
      </c>
      <c r="R189" s="36" t="n">
        <f aca="false">2*PI()*(0.827361+1236.853086*L189 - INT(0.827361+1236.853086*L189))</f>
        <v>1.68048072895837</v>
      </c>
      <c r="S189" s="36" t="n">
        <f aca="false">2*PI()*(0.259086+1342.227825*L189 - INT(0.259086+1342.227825*L189))</f>
        <v>2.64597486109044</v>
      </c>
      <c r="T189" s="36" t="n">
        <f aca="false">S189+(O189+412*SIN(2*S189)+541*SIN(Q189))/206264.8062</f>
        <v>2.51347812472998</v>
      </c>
      <c r="U189" s="36" t="n">
        <f aca="false">S189-2*R189</f>
        <v>-0.71498659682629</v>
      </c>
      <c r="V189" s="34" t="n">
        <f aca="false">-526*SIN(U189)+44*SIN(P189+U189)-31*SIN(-P189+U189)-23*SIN(Q189+U189)+11*SIN(-Q189+U189)-25*SIN(-2*P189+S189)+21*SIN(-P189+S189)</f>
        <v>284.250074365438</v>
      </c>
      <c r="W189" s="36" t="n">
        <f aca="false">2*PI()*(N189+O189/1296000-INT(N189+O189/1296000))</f>
        <v>3.38147692441521</v>
      </c>
      <c r="X189" s="35" t="n">
        <f aca="false">W189*180/PI()</f>
        <v>193.74435628987</v>
      </c>
      <c r="Y189" s="36" t="n">
        <f aca="false">(18520*SIN(T189)+V189)/206264.8062</f>
        <v>0.0541390282098502</v>
      </c>
      <c r="Z189" s="36" t="n">
        <f aca="false">Y189*180/PI()</f>
        <v>3.10193782336412</v>
      </c>
      <c r="AA189" s="36" t="n">
        <f aca="false">COS(Y189)*COS(W189)</f>
        <v>-0.969942272346088</v>
      </c>
      <c r="AB189" s="36" t="n">
        <f aca="false">COS(Y189)*SIN(W189)</f>
        <v>-0.237242105191882</v>
      </c>
      <c r="AC189" s="36" t="n">
        <f aca="false">SIN(Y189)</f>
        <v>0.0541125848600094</v>
      </c>
      <c r="AD189" s="36" t="n">
        <f aca="false">COS($A$10*(23.4393-46.815*L189/3600))*AB189-SIN($A$10*(23.4393-46.815*L189/3600))*AC189</f>
        <v>-0.239192403791719</v>
      </c>
      <c r="AE189" s="36" t="n">
        <f aca="false">SIN($A$10*(23.4393-46.815*L189/3600))*AB189+COS($A$10*(23.4393-46.815*L189/3600))*AC189</f>
        <v>-0.0447099796963349</v>
      </c>
      <c r="AF189" s="36" t="n">
        <f aca="false">SQRT(1-AE189*AE189)</f>
        <v>0.999000008866643</v>
      </c>
      <c r="AG189" s="35" t="n">
        <f aca="false">ATAN(AE189/AF189)/$A$10</f>
        <v>-2.56254737055676</v>
      </c>
      <c r="AH189" s="36" t="n">
        <f aca="false">IF(24*ATAN(AD189/(AA189+AF189))/PI()&gt;0,24*ATAN(AD189/(AA189+AF189))/PI(),24*ATAN(AD189/(AA189+AF189))/PI()+24)</f>
        <v>12.9235339435186</v>
      </c>
      <c r="AI189" s="63" t="n">
        <f aca="false">IF(M189-15*AH189&gt;0,M189-15*AH189,360+M189-15*AH189)</f>
        <v>106.093098196579</v>
      </c>
      <c r="AJ189" s="32" t="n">
        <f aca="false">0.950724+0.051818*COS(P189)+0.009531*COS(2*R189-P189)+0.007843*COS(2*R189)+0.002824*COS(2*P189)+0.000857*COS(2*R189+P189)+0.000533*COS(2*R189-Q189)*(1-0.002495*(J189-2415020)/36525)+0.000401*COS(2*R189-Q189-P189)*(1-0.002495*(J189-2415020)/36525)+0.00032*COS(P189-Q189)*(1-0.002495*(J189-2415020)/36525)-0.000271*COS(R189)</f>
        <v>0.951403379491875</v>
      </c>
      <c r="AK189" s="36" t="n">
        <f aca="false">ASIN(COS($A$10*$B$5)*COS($A$10*AG189)*COS($A$10*AI189)+SIN($A$10*$B$5)*SIN($A$10*AG189))/$A$10</f>
        <v>-12.2543392910368</v>
      </c>
      <c r="AL189" s="32" t="n">
        <f aca="false">ASIN((0.9983271+0.0016764*COS($A$10*2*$B$5))*COS($A$10*AK189)*SIN($A$10*AJ189))/$A$10</f>
        <v>0.927897620385246</v>
      </c>
      <c r="AM189" s="32" t="n">
        <f aca="false">AK189-AL189</f>
        <v>-13.182236911422</v>
      </c>
      <c r="AN189" s="35" t="n">
        <f aca="false"> MOD(280.4664567 + 360007.6982779*L189/10 + 0.03032028*L189^2/100 + L189^3/49931000,360)</f>
        <v>104.951890519424</v>
      </c>
      <c r="AO189" s="32" t="n">
        <f aca="false"> AN189 + (1.9146 - 0.004817*L189 - 0.000014*L189^2)*SIN(Q189)+ (0.019993 - 0.000101*L189)*SIN(2*Q189)+ 0.00029*SIN(3*Q189)</f>
        <v>104.898698276404</v>
      </c>
      <c r="AP189" s="32" t="n">
        <f aca="false">ACOS(COS(W189-$A$10*AO189)*COS(Y189))/$A$10</f>
        <v>88.8473495366921</v>
      </c>
      <c r="AQ189" s="34" t="n">
        <f aca="false">180 - AP189 -0.1468*(1-0.0549*SIN(Q189))*SIN($A$10*AP189)/(1-0.0167*SIN($A$10*AO189))</f>
        <v>91.0032402438635</v>
      </c>
      <c r="AR189" s="64" t="n">
        <f aca="false">SIN($A$10*AI189)</f>
        <v>0.960812552286485</v>
      </c>
      <c r="AS189" s="64" t="n">
        <f aca="false">COS($A$10*AI189)*SIN($A$10*$B$5) - TAN($A$10*AG189)*COS($A$10*$B$5)</f>
        <v>-0.183578901194692</v>
      </c>
      <c r="AT189" s="24" t="n">
        <f aca="false">IF(OR(AND(AR189*AS189&gt;0), AND(AR189&lt;0,AS189&gt;0)), MOD(ATAN2(AS189,AR189)/$A$10+360,360),  ATAN2(AS189,AR189)/$A$10)</f>
        <v>100.816921468858</v>
      </c>
      <c r="AU189" s="39" t="n">
        <f aca="false"> 385000.56 + (-20905355*COS(P189) - 3699111*COS(2*R189-P189) - 2955968*COS(2*R189) - 569925*COS(2*P189) + (1-0.002516*L189)*48888*COS(Q189) - 3149*COS(2*S189)  +246158*COS(2*R189-2*P189) -(1 - 0.002516*L189)*152138*COS(2*R189-Q189-P189) -170733*COS(2*R189+P189) -(1 - 0.002516*L189)*204586*COS(2*R189-Q189) -(1 - 0.002516*L189)*129620*COS(Q189-P189)  + 108743*COS(R189) +(1-0.002516*L189)*104755*COS(Q189+P189) +10321*COS(2*R189-2*S189) +79661*COS(P189-2*S189) -34782*COS(4*R189-P189) -23210*COS(3*P189)  -21636*COS(4*R189-2*P189) +(1 - 0.002516*L189)*24208*COS(2*R189+Q189-P189) +(1 - 0.002516*L189)*30824*COS(2*R189+Q189) -8379*COS(R189-P189) -(1 - 0.002516*L189)*16675*COS(R189+Q189)  -(1 - 0.002516*L189)*12831*COS(2*R189-Q189+P189) -10445*COS(2*R189+2*P189) -11650*COS(4*R189) +14403*COS(2*R189-3*P189) -(1-0.002516*L189)*7003*COS(Q189-2*P189)  + (1 - 0.002516*L189)*10056*COS(2*R189-Q189-2*P189) +6322*COS(R189+P189) -(1 - 0.002516*L189)*(1-0.002516*L189)*9884*COS(2*R189-2*Q189) +(1-0.002516*L189)*5751*COS(Q189+2*P189) - (1-0.002516*L189)^2*4950*COS(2*R189-2*Q189-P189)  +4130*COS(2*R189+P189-2*S189) -(1-0.002516*L189)*3958*COS(4*R189-Q189-P189) +3258*COS(3*R189-P189) +(1 - 0.002516*L189)*2616*COS(2*R189+Q189+P189) -(1 - 0.002516*L189)*1897*COS(4*R189-Q189-2*P189)  -(1-0.002516*L189)^2*2117*COS(2*Q189-P189) +(1-0.002516*L189)^2*2354*COS(2*R189+2*Q189-P189) -1423*COS(4*R189+P189) -1117*COS(4*P189) -(1-0.002516*L189)*1571*COS(4*R189-Q189)  -1739*COS(R189-2*P189) -4421*COS(2*P189-2*S189) +(1-0.002516*L189)^2*1165*COS(2*Q189+P189) +8752*COS(2*R189-P189-2*S189))/1000</f>
        <v>384249.428940229</v>
      </c>
      <c r="AV189" s="54" t="n">
        <f aca="false">ATAN(0.99664719*TAN($A$10*input!$E$2))</f>
        <v>0.871010436227447</v>
      </c>
      <c r="AW189" s="54" t="n">
        <f aca="false">COS(AV189)</f>
        <v>0.644053912545845</v>
      </c>
      <c r="AX189" s="54" t="n">
        <f aca="false">0.99664719*SIN(AV189)</f>
        <v>0.762415269897027</v>
      </c>
      <c r="AY189" s="54" t="n">
        <f aca="false">6378.14/AU189</f>
        <v>0.0165989576551645</v>
      </c>
      <c r="AZ189" s="55" t="n">
        <f aca="false">M189-15*AH189</f>
        <v>106.093098196579</v>
      </c>
      <c r="BA189" s="56" t="n">
        <f aca="false">COS($A$10*AG189)*SIN($A$10*AZ189)</f>
        <v>0.959851748253381</v>
      </c>
      <c r="BB189" s="56" t="n">
        <f aca="false">COS($A$10*AG189)*COS($A$10*AZ189)-AW189*AY189</f>
        <v>-0.287612343771353</v>
      </c>
      <c r="BC189" s="56" t="n">
        <f aca="false">SIN($A$10*AG189)-AX189*AY189</f>
        <v>-0.0573652784770064</v>
      </c>
      <c r="BD189" s="57" t="n">
        <f aca="false">SQRT(BA189^2+BB189^2+BC189^2)</f>
        <v>1.00365682087528</v>
      </c>
      <c r="BE189" s="58" t="n">
        <f aca="false">AU189*BD189</f>
        <v>385654.560273291</v>
      </c>
    </row>
    <row r="190" customFormat="false" ht="15" hidden="false" customHeight="false" outlineLevel="0" collapsed="false">
      <c r="D190" s="41" t="n">
        <f aca="false">K190-INT(275*E190/9)+IF($A$8="common year",2,1)*INT((E190+9)/12)+30</f>
        <v>8</v>
      </c>
      <c r="E190" s="41" t="n">
        <f aca="false">IF(K190&lt;32,1,INT(9*(IF($A$8="common year",2,1)+K190)/275+0.98))</f>
        <v>7</v>
      </c>
      <c r="F190" s="42" t="n">
        <f aca="false">AM190</f>
        <v>-10.6958400887624</v>
      </c>
      <c r="G190" s="60" t="n">
        <f aca="false">F190+1.02/(TAN($A$10*(F190+10.3/(F190+5.11)))*60)</f>
        <v>-10.7722709155905</v>
      </c>
      <c r="H190" s="43" t="n">
        <f aca="false">100*(1+COS($A$10*AQ190))/2</f>
        <v>59.8110170987265</v>
      </c>
      <c r="I190" s="43" t="n">
        <f aca="false">IF(AI190&gt;180,AT190-180,AT190+180)</f>
        <v>268.40357864626</v>
      </c>
      <c r="J190" s="61" t="n">
        <f aca="false">$J$2+K189</f>
        <v>2459768.5</v>
      </c>
      <c r="K190" s="21" t="n">
        <v>189</v>
      </c>
      <c r="L190" s="62" t="n">
        <f aca="false">(J190-2451545)/36525</f>
        <v>0.225147159479808</v>
      </c>
      <c r="M190" s="63" t="n">
        <f aca="false">MOD(280.46061837+360.98564736629*(J190-2451545)+0.000387933*L190^2-L190^3/38710000+$B$7,360)</f>
        <v>300.931754720397</v>
      </c>
      <c r="N190" s="30" t="n">
        <f aca="false">0.606433+1336.855225*L190 - INT(0.606433+1336.855225*L190)</f>
        <v>0.595589544490053</v>
      </c>
      <c r="O190" s="35" t="n">
        <f aca="false">22640*SIN(P190)-4586*SIN(P190-2*R190)+2370*SIN(2*R190)+769*SIN(2*P190)-668*SIN(Q190)-412*SIN(2*S190)-212*SIN(2*P190-2*R190)-206*SIN(P190+Q190-2*R190)+192*SIN(P190+2*R190)-165*SIN(Q190-2*R190)-125*SIN(R190)-110*SIN(P190+Q190)+148*SIN(P190-Q190)-55*SIN(2*S190-2*R190)</f>
        <v>-26580.1262656113</v>
      </c>
      <c r="P190" s="32" t="n">
        <f aca="false">2*PI()*(0.374897+1325.55241*L190 - INT(0.374897+1325.55241*L190))</f>
        <v>5.14754262229376</v>
      </c>
      <c r="Q190" s="36" t="n">
        <f aca="false">2*PI()*(0.993133+99.997361*L190 - INT(0.993133+99.997361*L190))</f>
        <v>3.1871758097647</v>
      </c>
      <c r="R190" s="36" t="n">
        <f aca="false">2*PI()*(0.827361+1236.853086*L190 - INT(0.827361+1236.853086*L190))</f>
        <v>1.89324943907739</v>
      </c>
      <c r="S190" s="36" t="n">
        <f aca="false">2*PI()*(0.259086+1342.227825*L190 - INT(0.259086+1342.227825*L190))</f>
        <v>2.87687058043145</v>
      </c>
      <c r="T190" s="36" t="n">
        <f aca="false">S190+(O190+412*SIN(2*S190)+541*SIN(Q190))/206264.8062</f>
        <v>2.74687816524722</v>
      </c>
      <c r="U190" s="36" t="n">
        <f aca="false">S190-2*R190</f>
        <v>-0.909628297723334</v>
      </c>
      <c r="V190" s="34" t="n">
        <f aca="false">-526*SIN(U190)+44*SIN(P190+U190)-31*SIN(-P190+U190)-23*SIN(Q190+U190)+11*SIN(-Q190+U190)-25*SIN(-2*P190+S190)+21*SIN(-P190+S190)</f>
        <v>367.162702409993</v>
      </c>
      <c r="W190" s="36" t="n">
        <f aca="false">2*PI()*(N190+O190/1296000-INT(N190+O190/1296000))</f>
        <v>3.61333538645781</v>
      </c>
      <c r="X190" s="35" t="n">
        <f aca="false">W190*180/PI()</f>
        <v>207.028867609305</v>
      </c>
      <c r="Y190" s="36" t="n">
        <f aca="false">(18520*SIN(T190)+V190)/206264.8062</f>
        <v>0.0363073550937589</v>
      </c>
      <c r="Z190" s="36" t="n">
        <f aca="false">Y190*180/PI()</f>
        <v>2.0802582121552</v>
      </c>
      <c r="AA190" s="36" t="n">
        <f aca="false">COS(Y190)*COS(W190)</f>
        <v>-0.890190617104974</v>
      </c>
      <c r="AB190" s="36" t="n">
        <f aca="false">COS(Y190)*SIN(W190)</f>
        <v>-0.454139868675679</v>
      </c>
      <c r="AC190" s="36" t="n">
        <f aca="false">SIN(Y190)</f>
        <v>0.0362993787481589</v>
      </c>
      <c r="AD190" s="36" t="n">
        <f aca="false">COS($A$10*(23.4393-46.815*L190/3600))*AB190-SIN($A$10*(23.4393-46.815*L190/3600))*AC190</f>
        <v>-0.431111752695987</v>
      </c>
      <c r="AE190" s="36" t="n">
        <f aca="false">SIN($A$10*(23.4393-46.815*L190/3600))*AB190+COS($A$10*(23.4393-46.815*L190/3600))*AC190</f>
        <v>-0.147320473477586</v>
      </c>
      <c r="AF190" s="36" t="n">
        <f aca="false">SQRT(1-AE190*AE190)</f>
        <v>0.989088812035775</v>
      </c>
      <c r="AG190" s="35" t="n">
        <f aca="false">ATAN(AE190/AF190)/$A$10</f>
        <v>-8.4716758534733</v>
      </c>
      <c r="AH190" s="36" t="n">
        <f aca="false">IF(24*ATAN(AD190/(AA190+AF190))/PI()&gt;0,24*ATAN(AD190/(AA190+AF190))/PI(),24*ATAN(AD190/(AA190+AF190))/PI()+24)</f>
        <v>13.7227008378925</v>
      </c>
      <c r="AI190" s="63" t="n">
        <f aca="false">IF(M190-15*AH190&gt;0,M190-15*AH190,360+M190-15*AH190)</f>
        <v>95.0912421520094</v>
      </c>
      <c r="AJ190" s="32" t="n">
        <f aca="false">0.950724+0.051818*COS(P190)+0.009531*COS(2*R190-P190)+0.007843*COS(2*R190)+0.002824*COS(2*P190)+0.000857*COS(2*R190+P190)+0.000533*COS(2*R190-Q190)*(1-0.002495*(J190-2415020)/36525)+0.000401*COS(2*R190-Q190-P190)*(1-0.002495*(J190-2415020)/36525)+0.00032*COS(P190-Q190)*(1-0.002495*(J190-2415020)/36525)-0.000271*COS(R190)</f>
        <v>0.966046560928087</v>
      </c>
      <c r="AK190" s="36" t="n">
        <f aca="false">ASIN(COS($A$10*$B$5)*COS($A$10*AG190)*COS($A$10*AI190)+SIN($A$10*$B$5)*SIN($A$10*AG190))/$A$10</f>
        <v>-9.74560590425505</v>
      </c>
      <c r="AL190" s="32" t="n">
        <f aca="false">ASIN((0.9983271+0.0016764*COS($A$10*2*$B$5))*COS($A$10*AK190)*SIN($A$10*AJ190))/$A$10</f>
        <v>0.950234184507345</v>
      </c>
      <c r="AM190" s="32" t="n">
        <f aca="false">AK190-AL190</f>
        <v>-10.6958400887624</v>
      </c>
      <c r="AN190" s="35" t="n">
        <f aca="false"> MOD(280.4664567 + 360007.6982779*L190/10 + 0.03032028*L190^2/100 + L190^3/49931000,360)</f>
        <v>105.937537883265</v>
      </c>
      <c r="AO190" s="32" t="n">
        <f aca="false"> AN190 + (1.9146 - 0.004817*L190 - 0.000014*L190^2)*SIN(Q190)+ (0.019993 - 0.000101*L190)*SIN(2*Q190)+ 0.00029*SIN(3*Q190)</f>
        <v>105.852122604393</v>
      </c>
      <c r="AP190" s="32" t="n">
        <f aca="false">ACOS(COS(W190-$A$10*AO190)*COS(Y190))/$A$10</f>
        <v>101.169284307762</v>
      </c>
      <c r="AQ190" s="34" t="n">
        <f aca="false">180 - AP190 -0.1468*(1-0.0549*SIN(Q190))*SIN($A$10*AP190)/(1-0.0167*SIN($A$10*AO190))</f>
        <v>78.6839786079237</v>
      </c>
      <c r="AR190" s="64" t="n">
        <f aca="false">SIN($A$10*AI190)</f>
        <v>0.996054641560003</v>
      </c>
      <c r="AS190" s="64" t="n">
        <f aca="false">COS($A$10*AI190)*SIN($A$10*$B$5) - TAN($A$10*AG190)*COS($A$10*$B$5)</f>
        <v>0.0277600641890792</v>
      </c>
      <c r="AT190" s="24" t="n">
        <f aca="false">IF(OR(AND(AR190*AS190&gt;0), AND(AR190&lt;0,AS190&gt;0)), MOD(ATAN2(AS190,AR190)/$A$10+360,360),  ATAN2(AS190,AR190)/$A$10)</f>
        <v>88.40357864626</v>
      </c>
      <c r="AU190" s="39" t="n">
        <f aca="false"> 385000.56 + (-20905355*COS(P190) - 3699111*COS(2*R190-P190) - 2955968*COS(2*R190) - 569925*COS(2*P190) + (1-0.002516*L190)*48888*COS(Q190) - 3149*COS(2*S190)  +246158*COS(2*R190-2*P190) -(1 - 0.002516*L190)*152138*COS(2*R190-Q190-P190) -170733*COS(2*R190+P190) -(1 - 0.002516*L190)*204586*COS(2*R190-Q190) -(1 - 0.002516*L190)*129620*COS(Q190-P190)  + 108743*COS(R190) +(1-0.002516*L190)*104755*COS(Q190+P190) +10321*COS(2*R190-2*S190) +79661*COS(P190-2*S190) -34782*COS(4*R190-P190) -23210*COS(3*P190)  -21636*COS(4*R190-2*P190) +(1 - 0.002516*L190)*24208*COS(2*R190+Q190-P190) +(1 - 0.002516*L190)*30824*COS(2*R190+Q190) -8379*COS(R190-P190) -(1 - 0.002516*L190)*16675*COS(R190+Q190)  -(1 - 0.002516*L190)*12831*COS(2*R190-Q190+P190) -10445*COS(2*R190+2*P190) -11650*COS(4*R190) +14403*COS(2*R190-3*P190) -(1-0.002516*L190)*7003*COS(Q190-2*P190)  + (1 - 0.002516*L190)*10056*COS(2*R190-Q190-2*P190) +6322*COS(R190+P190) -(1 - 0.002516*L190)*(1-0.002516*L190)*9884*COS(2*R190-2*Q190) +(1-0.002516*L190)*5751*COS(Q190+2*P190) - (1-0.002516*L190)^2*4950*COS(2*R190-2*Q190-P190)  +4130*COS(2*R190+P190-2*S190) -(1-0.002516*L190)*3958*COS(4*R190-Q190-P190) +3258*COS(3*R190-P190) +(1 - 0.002516*L190)*2616*COS(2*R190+Q190+P190) -(1 - 0.002516*L190)*1897*COS(4*R190-Q190-2*P190)  -(1-0.002516*L190)^2*2117*COS(2*Q190-P190) +(1-0.002516*L190)^2*2354*COS(2*R190+2*Q190-P190) -1423*COS(4*R190+P190) -1117*COS(4*P190) -(1-0.002516*L190)*1571*COS(4*R190-Q190)  -1739*COS(R190-2*P190) -4421*COS(2*P190-2*S190) +(1-0.002516*L190)^2*1165*COS(2*Q190+P190) +8752*COS(2*R190-P190-2*S190))/1000</f>
        <v>378457.813365771</v>
      </c>
      <c r="AV190" s="54" t="n">
        <f aca="false">ATAN(0.99664719*TAN($A$10*input!$E$2))</f>
        <v>0.871010436227447</v>
      </c>
      <c r="AW190" s="54" t="n">
        <f aca="false">COS(AV190)</f>
        <v>0.644053912545845</v>
      </c>
      <c r="AX190" s="54" t="n">
        <f aca="false">0.99664719*SIN(AV190)</f>
        <v>0.762415269897027</v>
      </c>
      <c r="AY190" s="54" t="n">
        <f aca="false">6378.14/AU190</f>
        <v>0.0168529748224162</v>
      </c>
      <c r="AZ190" s="55" t="n">
        <f aca="false">M190-15*AH190</f>
        <v>95.0912421520094</v>
      </c>
      <c r="BA190" s="56" t="n">
        <f aca="false">COS($A$10*AG190)*SIN($A$10*AZ190)</f>
        <v>0.985186502143302</v>
      </c>
      <c r="BB190" s="56" t="n">
        <f aca="false">COS($A$10*AG190)*COS($A$10*AZ190)-AW190*AY190</f>
        <v>-0.098627990891715</v>
      </c>
      <c r="BC190" s="56" t="n">
        <f aca="false">SIN($A$10*AG190)-AX190*AY190</f>
        <v>-0.160169438825386</v>
      </c>
      <c r="BD190" s="57" t="n">
        <f aca="false">SQRT(BA190^2+BB190^2+BC190^2)</f>
        <v>1.00298263879607</v>
      </c>
      <c r="BE190" s="58" t="n">
        <f aca="false">AU190*BD190</f>
        <v>379586.616322592</v>
      </c>
    </row>
    <row r="191" customFormat="false" ht="15" hidden="false" customHeight="false" outlineLevel="0" collapsed="false">
      <c r="D191" s="41" t="n">
        <f aca="false">K191-INT(275*E191/9)+IF($A$8="common year",2,1)*INT((E191+9)/12)+30</f>
        <v>9</v>
      </c>
      <c r="E191" s="41" t="n">
        <f aca="false">IF(K191&lt;32,1,INT(9*(IF($A$8="common year",2,1)+K191)/275+0.98))</f>
        <v>7</v>
      </c>
      <c r="F191" s="42" t="n">
        <f aca="false">AM191</f>
        <v>-7.58016717163982</v>
      </c>
      <c r="G191" s="60" t="n">
        <f aca="false">F191+1.02/(TAN($A$10*(F191+10.3/(F191+5.11)))*60)</f>
        <v>-7.6618983567561</v>
      </c>
      <c r="H191" s="43" t="n">
        <f aca="false">100*(1+COS($A$10*AQ191))/2</f>
        <v>70.3862529885187</v>
      </c>
      <c r="I191" s="43" t="n">
        <f aca="false">IF(AI191&gt;180,AT191-180,AT191+180)</f>
        <v>255.783617698835</v>
      </c>
      <c r="J191" s="61" t="n">
        <f aca="false">$J$2+K190</f>
        <v>2459769.5</v>
      </c>
      <c r="K191" s="21" t="n">
        <v>190</v>
      </c>
      <c r="L191" s="62" t="n">
        <f aca="false">(J191-2451545)/36525</f>
        <v>0.22517453798768</v>
      </c>
      <c r="M191" s="63" t="n">
        <f aca="false">MOD(280.46061837+360.98564736629*(J191-2451545)+0.000387933*L191^2-L191^3/38710000+$B$7,360)</f>
        <v>301.917402091436</v>
      </c>
      <c r="N191" s="30" t="n">
        <f aca="false">0.606433+1336.855225*L191 - INT(0.606433+1336.855225*L191)</f>
        <v>0.632190645790558</v>
      </c>
      <c r="O191" s="35" t="n">
        <f aca="false">22640*SIN(P191)-4586*SIN(P191-2*R191)+2370*SIN(2*R191)+769*SIN(2*P191)-668*SIN(Q191)-412*SIN(2*S191)-212*SIN(2*P191-2*R191)-206*SIN(P191+Q191-2*R191)+192*SIN(P191+2*R191)-165*SIN(Q191-2*R191)-125*SIN(R191)-110*SIN(P191+Q191)+148*SIN(P191-Q191)-55*SIN(2*S191-2*R191)</f>
        <v>-24676.899746649</v>
      </c>
      <c r="P191" s="32" t="n">
        <f aca="false">2*PI()*(0.374897+1325.55241*L191 - INT(0.374897+1325.55241*L191))</f>
        <v>5.37556976606957</v>
      </c>
      <c r="Q191" s="36" t="n">
        <f aca="false">2*PI()*(0.993133+99.997361*L191 - INT(0.993133+99.997361*L191))</f>
        <v>3.2043777796317</v>
      </c>
      <c r="R191" s="36" t="n">
        <f aca="false">2*PI()*(0.827361+1236.853086*L191 - INT(0.827361+1236.853086*L191))</f>
        <v>2.10601814919642</v>
      </c>
      <c r="S191" s="36" t="n">
        <f aca="false">2*PI()*(0.259086+1342.227825*L191 - INT(0.259086+1342.227825*L191))</f>
        <v>3.10776629977245</v>
      </c>
      <c r="T191" s="36" t="n">
        <f aca="false">S191+(O191+412*SIN(2*S191)+541*SIN(Q191))/206264.8062</f>
        <v>2.98782971775183</v>
      </c>
      <c r="U191" s="36" t="n">
        <f aca="false">S191-2*R191</f>
        <v>-1.10426999862038</v>
      </c>
      <c r="V191" s="34" t="n">
        <f aca="false">-526*SIN(U191)+44*SIN(P191+U191)-31*SIN(-P191+U191)-23*SIN(Q191+U191)+11*SIN(-Q191+U191)-25*SIN(-2*P191+S191)+21*SIN(-P191+S191)</f>
        <v>434.666519617937</v>
      </c>
      <c r="W191" s="36" t="n">
        <f aca="false">2*PI()*(N191+O191/1296000-INT(N191+O191/1296000))</f>
        <v>3.85253399092217</v>
      </c>
      <c r="X191" s="35" t="n">
        <f aca="false">W191*180/PI()</f>
        <v>220.733938110532</v>
      </c>
      <c r="Y191" s="36" t="n">
        <f aca="false">(18520*SIN(T191)+V191)/206264.8062</f>
        <v>0.015858973081818</v>
      </c>
      <c r="Z191" s="36" t="n">
        <f aca="false">Y191*180/PI()</f>
        <v>0.908652224999752</v>
      </c>
      <c r="AA191" s="36" t="n">
        <f aca="false">COS(Y191)*COS(W191)</f>
        <v>-0.757652657150384</v>
      </c>
      <c r="AB191" s="36" t="n">
        <f aca="false">COS(Y191)*SIN(W191)</f>
        <v>-0.652465298058301</v>
      </c>
      <c r="AC191" s="36" t="n">
        <f aca="false">SIN(Y191)</f>
        <v>0.0158583083163153</v>
      </c>
      <c r="AD191" s="36" t="n">
        <f aca="false">COS($A$10*(23.4393-46.815*L191/3600))*AB191-SIN($A$10*(23.4393-46.815*L191/3600))*AC191</f>
        <v>-0.604945761547064</v>
      </c>
      <c r="AE191" s="36" t="n">
        <f aca="false">SIN($A$10*(23.4393-46.815*L191/3600))*AB191+COS($A$10*(23.4393-46.815*L191/3600))*AC191</f>
        <v>-0.244955254483764</v>
      </c>
      <c r="AF191" s="36" t="n">
        <f aca="false">SQRT(1-AE191*AE191)</f>
        <v>0.969534384795503</v>
      </c>
      <c r="AG191" s="35" t="n">
        <f aca="false">ATAN(AE191/AF191)/$A$10</f>
        <v>-14.1791894240182</v>
      </c>
      <c r="AH191" s="36" t="n">
        <f aca="false">IF(24*ATAN(AD191/(AA191+AF191))/PI()&gt;0,24*ATAN(AD191/(AA191+AF191))/PI(),24*ATAN(AD191/(AA191+AF191))/PI()+24)</f>
        <v>14.5737015544015</v>
      </c>
      <c r="AI191" s="63" t="n">
        <f aca="false">IF(M191-15*AH191&gt;0,M191-15*AH191,360+M191-15*AH191)</f>
        <v>83.3118787754132</v>
      </c>
      <c r="AJ191" s="32" t="n">
        <f aca="false">0.950724+0.051818*COS(P191)+0.009531*COS(2*R191-P191)+0.007843*COS(2*R191)+0.002824*COS(2*P191)+0.000857*COS(2*R191+P191)+0.000533*COS(2*R191-Q191)*(1-0.002495*(J191-2415020)/36525)+0.000401*COS(2*R191-Q191-P191)*(1-0.002495*(J191-2415020)/36525)+0.00032*COS(P191-Q191)*(1-0.002495*(J191-2415020)/36525)-0.000271*COS(R191)</f>
        <v>0.981214728990091</v>
      </c>
      <c r="AK191" s="36" t="n">
        <f aca="false">ASIN(COS($A$10*$B$5)*COS($A$10*AG191)*COS($A$10*AI191)+SIN($A$10*$B$5)*SIN($A$10*AG191))/$A$10</f>
        <v>-6.60738484996847</v>
      </c>
      <c r="AL191" s="32" t="n">
        <f aca="false">ASIN((0.9983271+0.0016764*COS($A$10*2*$B$5))*COS($A$10*AK191)*SIN($A$10*AJ191))/$A$10</f>
        <v>0.972782321671343</v>
      </c>
      <c r="AM191" s="32" t="n">
        <f aca="false">AK191-AL191</f>
        <v>-7.58016717163982</v>
      </c>
      <c r="AN191" s="35" t="n">
        <f aca="false"> MOD(280.4664567 + 360007.6982779*L191/10 + 0.03032028*L191^2/100 + L191^3/49931000,360)</f>
        <v>106.923185247106</v>
      </c>
      <c r="AO191" s="32" t="n">
        <f aca="false"> AN191 + (1.9146 - 0.004817*L191 - 0.000014*L191^2)*SIN(Q191)+ (0.019993 - 0.000101*L191)*SIN(2*Q191)+ 0.00029*SIN(3*Q191)</f>
        <v>106.80557069095</v>
      </c>
      <c r="AP191" s="32" t="n">
        <f aca="false">ACOS(COS(W191-$A$10*AO191)*COS(Y191))/$A$10</f>
        <v>113.925170376372</v>
      </c>
      <c r="AQ191" s="34" t="n">
        <f aca="false">180 - AP191 -0.1468*(1-0.0549*SIN(Q191))*SIN($A$10*AP191)/(1-0.0167*SIN($A$10*AO191))</f>
        <v>65.9379934928043</v>
      </c>
      <c r="AR191" s="64" t="n">
        <f aca="false">SIN($A$10*AI191)</f>
        <v>0.993194816807324</v>
      </c>
      <c r="AS191" s="64" t="n">
        <f aca="false">COS($A$10*AI191)*SIN($A$10*$B$5) - TAN($A$10*AG191)*COS($A$10*$B$5)</f>
        <v>0.251619108900354</v>
      </c>
      <c r="AT191" s="24" t="n">
        <f aca="false">IF(OR(AND(AR191*AS191&gt;0), AND(AR191&lt;0,AS191&gt;0)), MOD(ATAN2(AS191,AR191)/$A$10+360,360),  ATAN2(AS191,AR191)/$A$10)</f>
        <v>75.7836176988348</v>
      </c>
      <c r="AU191" s="39" t="n">
        <f aca="false"> 385000.56 + (-20905355*COS(P191) - 3699111*COS(2*R191-P191) - 2955968*COS(2*R191) - 569925*COS(2*P191) + (1-0.002516*L191)*48888*COS(Q191) - 3149*COS(2*S191)  +246158*COS(2*R191-2*P191) -(1 - 0.002516*L191)*152138*COS(2*R191-Q191-P191) -170733*COS(2*R191+P191) -(1 - 0.002516*L191)*204586*COS(2*R191-Q191) -(1 - 0.002516*L191)*129620*COS(Q191-P191)  + 108743*COS(R191) +(1-0.002516*L191)*104755*COS(Q191+P191) +10321*COS(2*R191-2*S191) +79661*COS(P191-2*S191) -34782*COS(4*R191-P191) -23210*COS(3*P191)  -21636*COS(4*R191-2*P191) +(1 - 0.002516*L191)*24208*COS(2*R191+Q191-P191) +(1 - 0.002516*L191)*30824*COS(2*R191+Q191) -8379*COS(R191-P191) -(1 - 0.002516*L191)*16675*COS(R191+Q191)  -(1 - 0.002516*L191)*12831*COS(2*R191-Q191+P191) -10445*COS(2*R191+2*P191) -11650*COS(4*R191) +14403*COS(2*R191-3*P191) -(1-0.002516*L191)*7003*COS(Q191-2*P191)  + (1 - 0.002516*L191)*10056*COS(2*R191-Q191-2*P191) +6322*COS(R191+P191) -(1 - 0.002516*L191)*(1-0.002516*L191)*9884*COS(2*R191-2*Q191) +(1-0.002516*L191)*5751*COS(Q191+2*P191) - (1-0.002516*L191)^2*4950*COS(2*R191-2*Q191-P191)  +4130*COS(2*R191+P191-2*S191) -(1-0.002516*L191)*3958*COS(4*R191-Q191-P191) +3258*COS(3*R191-P191) +(1 - 0.002516*L191)*2616*COS(2*R191+Q191+P191) -(1 - 0.002516*L191)*1897*COS(4*R191-Q191-2*P191)  -(1-0.002516*L191)^2*2117*COS(2*Q191-P191) +(1-0.002516*L191)^2*2354*COS(2*R191+2*Q191-P191) -1423*COS(4*R191+P191) -1117*COS(4*P191) -(1-0.002516*L191)*1571*COS(4*R191-Q191)  -1739*COS(R191-2*P191) -4421*COS(2*P191-2*S191) +(1-0.002516*L191)^2*1165*COS(2*Q191+P191) +8752*COS(2*R191-P191-2*S191))/1000</f>
        <v>372597.748217963</v>
      </c>
      <c r="AV191" s="54" t="n">
        <f aca="false">ATAN(0.99664719*TAN($A$10*input!$E$2))</f>
        <v>0.871010436227447</v>
      </c>
      <c r="AW191" s="54" t="n">
        <f aca="false">COS(AV191)</f>
        <v>0.644053912545845</v>
      </c>
      <c r="AX191" s="54" t="n">
        <f aca="false">0.99664719*SIN(AV191)</f>
        <v>0.762415269897027</v>
      </c>
      <c r="AY191" s="54" t="n">
        <f aca="false">6378.14/AU191</f>
        <v>0.0171180315246267</v>
      </c>
      <c r="AZ191" s="55" t="n">
        <f aca="false">M191-15*AH191</f>
        <v>83.3118787754132</v>
      </c>
      <c r="BA191" s="56" t="n">
        <f aca="false">COS($A$10*AG191)*SIN($A$10*AZ191)</f>
        <v>0.962936525695371</v>
      </c>
      <c r="BB191" s="56" t="n">
        <f aca="false">COS($A$10*AG191)*COS($A$10*AZ191)-AW191*AY191</f>
        <v>0.101891718963029</v>
      </c>
      <c r="BC191" s="56" t="n">
        <f aca="false">SIN($A$10*AG191)-AX191*AY191</f>
        <v>-0.258006303108718</v>
      </c>
      <c r="BD191" s="57" t="n">
        <f aca="false">SQRT(BA191^2+BB191^2+BC191^2)</f>
        <v>1.00209576755684</v>
      </c>
      <c r="BE191" s="58" t="n">
        <f aca="false">AU191*BD191</f>
        <v>373378.626490431</v>
      </c>
    </row>
    <row r="192" customFormat="false" ht="15" hidden="false" customHeight="false" outlineLevel="0" collapsed="false">
      <c r="D192" s="41" t="n">
        <f aca="false">K192-INT(275*E192/9)+IF($A$8="common year",2,1)*INT((E192+9)/12)+30</f>
        <v>10</v>
      </c>
      <c r="E192" s="41" t="n">
        <f aca="false">IF(K192&lt;32,1,INT(9*(IF($A$8="common year",2,1)+K192)/275+0.98))</f>
        <v>7</v>
      </c>
      <c r="F192" s="42" t="n">
        <f aca="false">AM192</f>
        <v>-3.90025495097404</v>
      </c>
      <c r="G192" s="60" t="n">
        <f aca="false">F192+1.02/(TAN($A$10*(F192+10.3/(F192+5.11)))*60)</f>
        <v>-3.68960574900264</v>
      </c>
      <c r="H192" s="43" t="n">
        <f aca="false">100*(1+COS($A$10*AQ192))/2</f>
        <v>80.2585243481663</v>
      </c>
      <c r="I192" s="43" t="n">
        <f aca="false">IF(AI192&gt;180,AT192-180,AT192+180)</f>
        <v>242.931587277667</v>
      </c>
      <c r="J192" s="61" t="n">
        <f aca="false">$J$2+K191</f>
        <v>2459770.5</v>
      </c>
      <c r="K192" s="21" t="n">
        <v>191</v>
      </c>
      <c r="L192" s="62" t="n">
        <f aca="false">(J192-2451545)/36525</f>
        <v>0.225201916495551</v>
      </c>
      <c r="M192" s="63" t="n">
        <f aca="false">MOD(280.46061837+360.98564736629*(J192-2451545)+0.000387933*L192^2-L192^3/38710000+$B$7,360)</f>
        <v>302.903049462009</v>
      </c>
      <c r="N192" s="30" t="n">
        <f aca="false">0.606433+1336.855225*L192 - INT(0.606433+1336.855225*L192)</f>
        <v>0.668791747091007</v>
      </c>
      <c r="O192" s="35" t="n">
        <f aca="false">22640*SIN(P192)-4586*SIN(P192-2*R192)+2370*SIN(2*R192)+769*SIN(2*P192)-668*SIN(Q192)-412*SIN(2*S192)-212*SIN(2*P192-2*R192)-206*SIN(P192+Q192-2*R192)+192*SIN(P192+2*R192)-165*SIN(Q192-2*R192)-125*SIN(R192)-110*SIN(P192+Q192)+148*SIN(P192-Q192)-55*SIN(2*S192-2*R192)</f>
        <v>-21180.6196871051</v>
      </c>
      <c r="P192" s="32" t="n">
        <f aca="false">2*PI()*(0.374897+1325.55241*L192 - INT(0.374897+1325.55241*L192))</f>
        <v>5.60359690984539</v>
      </c>
      <c r="Q192" s="36" t="n">
        <f aca="false">2*PI()*(0.993133+99.997361*L192 - INT(0.993133+99.997361*L192))</f>
        <v>3.22157974949869</v>
      </c>
      <c r="R192" s="36" t="n">
        <f aca="false">2*PI()*(0.827361+1236.853086*L192 - INT(0.827361+1236.853086*L192))</f>
        <v>2.31878685931544</v>
      </c>
      <c r="S192" s="36" t="n">
        <f aca="false">2*PI()*(0.259086+1342.227825*L192 - INT(0.259086+1342.227825*L192))</f>
        <v>3.3386620191131</v>
      </c>
      <c r="T192" s="36" t="n">
        <f aca="false">S192+(O192+412*SIN(2*S192)+541*SIN(Q192))/206264.8062</f>
        <v>3.23653294741391</v>
      </c>
      <c r="U192" s="36" t="n">
        <f aca="false">S192-2*R192</f>
        <v>-1.29891169951778</v>
      </c>
      <c r="V192" s="34" t="n">
        <f aca="false">-526*SIN(U192)+44*SIN(P192+U192)-31*SIN(-P192+U192)-23*SIN(Q192+U192)+11*SIN(-Q192+U192)-25*SIN(-2*P192+S192)+21*SIN(-P192+S192)</f>
        <v>482.343665916872</v>
      </c>
      <c r="W192" s="36" t="n">
        <f aca="false">2*PI()*(N192+O192/1296000-INT(N192+O192/1296000))</f>
        <v>4.09945593689831</v>
      </c>
      <c r="X192" s="35" t="n">
        <f aca="false">W192*180/PI()</f>
        <v>234.881523484122</v>
      </c>
      <c r="Y192" s="36" t="n">
        <f aca="false">(18520*SIN(T192)+V192)/206264.8062</f>
        <v>-0.00617318264384707</v>
      </c>
      <c r="Z192" s="36" t="n">
        <f aca="false">Y192*180/PI()</f>
        <v>-0.353697311655848</v>
      </c>
      <c r="AA192" s="36" t="n">
        <f aca="false">COS(Y192)*COS(W192)</f>
        <v>-0.575258094624418</v>
      </c>
      <c r="AB192" s="36" t="n">
        <f aca="false">COS(Y192)*SIN(W192)</f>
        <v>-0.8179486639571</v>
      </c>
      <c r="AC192" s="36" t="n">
        <f aca="false">SIN(Y192)</f>
        <v>-0.00617314343579182</v>
      </c>
      <c r="AD192" s="36" t="n">
        <f aca="false">COS($A$10*(23.4393-46.815*L192/3600))*AB192-SIN($A$10*(23.4393-46.815*L192/3600))*AC192</f>
        <v>-0.748014558815029</v>
      </c>
      <c r="AE192" s="36" t="n">
        <f aca="false">SIN($A$10*(23.4393-46.815*L192/3600))*AB192+COS($A$10*(23.4393-46.815*L192/3600))*AC192</f>
        <v>-0.330986924771722</v>
      </c>
      <c r="AF192" s="36" t="n">
        <f aca="false">SQRT(1-AE192*AE192)</f>
        <v>0.94363534038852</v>
      </c>
      <c r="AG192" s="35" t="n">
        <f aca="false">ATAN(AE192/AF192)/$A$10</f>
        <v>-19.3286887479976</v>
      </c>
      <c r="AH192" s="36" t="n">
        <f aca="false">IF(24*ATAN(AD192/(AA192+AF192))/PI()&gt;0,24*ATAN(AD192/(AA192+AF192))/PI(),24*ATAN(AD192/(AA192+AF192))/PI()+24)</f>
        <v>15.4958690644247</v>
      </c>
      <c r="AI192" s="63" t="n">
        <f aca="false">IF(M192-15*AH192&gt;0,M192-15*AH192,360+M192-15*AH192)</f>
        <v>70.4650134956385</v>
      </c>
      <c r="AJ192" s="32" t="n">
        <f aca="false">0.950724+0.051818*COS(P192)+0.009531*COS(2*R192-P192)+0.007843*COS(2*R192)+0.002824*COS(2*P192)+0.000857*COS(2*R192+P192)+0.000533*COS(2*R192-Q192)*(1-0.002495*(J192-2415020)/36525)+0.000401*COS(2*R192-Q192-P192)*(1-0.002495*(J192-2415020)/36525)+0.00032*COS(P192-Q192)*(1-0.002495*(J192-2415020)/36525)-0.000271*COS(R192)</f>
        <v>0.99570340257497</v>
      </c>
      <c r="AK192" s="36" t="n">
        <f aca="false">ASIN(COS($A$10*$B$5)*COS($A$10*AG192)*COS($A$10*AI192)+SIN($A$10*$B$5)*SIN($A$10*AG192))/$A$10</f>
        <v>-2.90778691594662</v>
      </c>
      <c r="AL192" s="32" t="n">
        <f aca="false">ASIN((0.9983271+0.0016764*COS($A$10*2*$B$5))*COS($A$10*AK192)*SIN($A$10*AJ192))/$A$10</f>
        <v>0.99246803502742</v>
      </c>
      <c r="AM192" s="32" t="n">
        <f aca="false">AK192-AL192</f>
        <v>-3.90025495097404</v>
      </c>
      <c r="AN192" s="35" t="n">
        <f aca="false"> MOD(280.4664567 + 360007.6982779*L192/10 + 0.03032028*L192^2/100 + L192^3/49931000,360)</f>
        <v>107.908832610947</v>
      </c>
      <c r="AO192" s="32" t="n">
        <f aca="false"> AN192 + (1.9146 - 0.004817*L192 - 0.000014*L192^2)*SIN(Q192)+ (0.019993 - 0.000101*L192)*SIN(2*Q192)+ 0.00029*SIN(3*Q192)</f>
        <v>107.759051492569</v>
      </c>
      <c r="AP192" s="32" t="n">
        <f aca="false">ACOS(COS(W192-$A$10*AO192)*COS(Y192))/$A$10</f>
        <v>127.121645664756</v>
      </c>
      <c r="AQ192" s="34" t="n">
        <f aca="false">180 - AP192 -0.1468*(1-0.0549*SIN(Q192))*SIN($A$10*AP192)/(1-0.0167*SIN($A$10*AO192))</f>
        <v>52.7588890144255</v>
      </c>
      <c r="AR192" s="64" t="n">
        <f aca="false">SIN($A$10*AI192)</f>
        <v>0.942437482983533</v>
      </c>
      <c r="AS192" s="64" t="n">
        <f aca="false">COS($A$10*AI192)*SIN($A$10*$B$5) - TAN($A$10*AG192)*COS($A$10*$B$5)</f>
        <v>0.481614186794505</v>
      </c>
      <c r="AT192" s="24" t="n">
        <f aca="false">IF(OR(AND(AR192*AS192&gt;0), AND(AR192&lt;0,AS192&gt;0)), MOD(ATAN2(AS192,AR192)/$A$10+360,360),  ATAN2(AS192,AR192)/$A$10)</f>
        <v>62.9315872776675</v>
      </c>
      <c r="AU192" s="39" t="n">
        <f aca="false"> 385000.56 + (-20905355*COS(P192) - 3699111*COS(2*R192-P192) - 2955968*COS(2*R192) - 569925*COS(2*P192) + (1-0.002516*L192)*48888*COS(Q192) - 3149*COS(2*S192)  +246158*COS(2*R192-2*P192) -(1 - 0.002516*L192)*152138*COS(2*R192-Q192-P192) -170733*COS(2*R192+P192) -(1 - 0.002516*L192)*204586*COS(2*R192-Q192) -(1 - 0.002516*L192)*129620*COS(Q192-P192)  + 108743*COS(R192) +(1-0.002516*L192)*104755*COS(Q192+P192) +10321*COS(2*R192-2*S192) +79661*COS(P192-2*S192) -34782*COS(4*R192-P192) -23210*COS(3*P192)  -21636*COS(4*R192-2*P192) +(1 - 0.002516*L192)*24208*COS(2*R192+Q192-P192) +(1 - 0.002516*L192)*30824*COS(2*R192+Q192) -8379*COS(R192-P192) -(1 - 0.002516*L192)*16675*COS(R192+Q192)  -(1 - 0.002516*L192)*12831*COS(2*R192-Q192+P192) -10445*COS(2*R192+2*P192) -11650*COS(4*R192) +14403*COS(2*R192-3*P192) -(1-0.002516*L192)*7003*COS(Q192-2*P192)  + (1 - 0.002516*L192)*10056*COS(2*R192-Q192-2*P192) +6322*COS(R192+P192) -(1 - 0.002516*L192)*(1-0.002516*L192)*9884*COS(2*R192-2*Q192) +(1-0.002516*L192)*5751*COS(Q192+2*P192) - (1-0.002516*L192)^2*4950*COS(2*R192-2*Q192-P192)  +4130*COS(2*R192+P192-2*S192) -(1-0.002516*L192)*3958*COS(4*R192-Q192-P192) +3258*COS(3*R192-P192) +(1 - 0.002516*L192)*2616*COS(2*R192+Q192+P192) -(1 - 0.002516*L192)*1897*COS(4*R192-Q192-2*P192)  -(1-0.002516*L192)^2*2117*COS(2*Q192-P192) +(1-0.002516*L192)^2*2354*COS(2*R192+2*Q192-P192) -1423*COS(4*R192+P192) -1117*COS(4*P192) -(1-0.002516*L192)*1571*COS(4*R192-Q192)  -1739*COS(R192-2*P192) -4421*COS(2*P192-2*S192) +(1-0.002516*L192)^2*1165*COS(2*Q192+P192) +8752*COS(2*R192-P192-2*S192))/1000</f>
        <v>367094.670091275</v>
      </c>
      <c r="AV192" s="54" t="n">
        <f aca="false">ATAN(0.99664719*TAN($A$10*input!$E$2))</f>
        <v>0.871010436227447</v>
      </c>
      <c r="AW192" s="54" t="n">
        <f aca="false">COS(AV192)</f>
        <v>0.644053912545845</v>
      </c>
      <c r="AX192" s="54" t="n">
        <f aca="false">0.99664719*SIN(AV192)</f>
        <v>0.762415269897027</v>
      </c>
      <c r="AY192" s="54" t="n">
        <f aca="false">6378.14/AU192</f>
        <v>0.0173746461598424</v>
      </c>
      <c r="AZ192" s="55" t="n">
        <f aca="false">M192-15*AH192</f>
        <v>70.4650134956385</v>
      </c>
      <c r="BA192" s="56" t="n">
        <f aca="false">COS($A$10*AG192)*SIN($A$10*AZ192)</f>
        <v>0.889317315050067</v>
      </c>
      <c r="BB192" s="56" t="n">
        <f aca="false">COS($A$10*AG192)*COS($A$10*AZ192)-AW192*AY192</f>
        <v>0.304344842752281</v>
      </c>
      <c r="BC192" s="56" t="n">
        <f aca="false">SIN($A$10*AG192)-AX192*AY192</f>
        <v>-0.344233620313043</v>
      </c>
      <c r="BD192" s="57" t="n">
        <f aca="false">SQRT(BA192^2+BB192^2+BC192^2)</f>
        <v>1.00100342432561</v>
      </c>
      <c r="BE192" s="58" t="n">
        <f aca="false">AU192*BD192</f>
        <v>367463.021813046</v>
      </c>
    </row>
    <row r="193" customFormat="false" ht="15" hidden="false" customHeight="false" outlineLevel="0" collapsed="false">
      <c r="D193" s="41" t="n">
        <f aca="false">K193-INT(275*E193/9)+IF($A$8="common year",2,1)*INT((E193+9)/12)+30</f>
        <v>11</v>
      </c>
      <c r="E193" s="41" t="n">
        <f aca="false">IF(K193&lt;32,1,INT(9*(IF($A$8="common year",2,1)+K193)/275+0.98))</f>
        <v>7</v>
      </c>
      <c r="F193" s="42" t="n">
        <f aca="false">AM193</f>
        <v>0.215795997952668</v>
      </c>
      <c r="G193" s="60" t="n">
        <f aca="false">F193+1.02/(TAN($A$10*(F193+10.3/(F193+5.11)))*60)</f>
        <v>0.668666287168785</v>
      </c>
      <c r="H193" s="43" t="n">
        <f aca="false">100*(1+COS($A$10*AQ193))/2</f>
        <v>88.7502618142216</v>
      </c>
      <c r="I193" s="43" t="n">
        <f aca="false">IF(AI193&gt;180,AT193-180,AT193+180)</f>
        <v>229.815624475785</v>
      </c>
      <c r="J193" s="61" t="n">
        <f aca="false">$J$2+K192</f>
        <v>2459771.5</v>
      </c>
      <c r="K193" s="21" t="n">
        <v>192</v>
      </c>
      <c r="L193" s="62" t="n">
        <f aca="false">(J193-2451545)/36525</f>
        <v>0.225229295003422</v>
      </c>
      <c r="M193" s="63" t="n">
        <f aca="false">MOD(280.46061837+360.98564736629*(J193-2451545)+0.000387933*L193^2-L193^3/38710000+$B$7,360)</f>
        <v>303.888696833514</v>
      </c>
      <c r="N193" s="30" t="n">
        <f aca="false">0.606433+1336.855225*L193 - INT(0.606433+1336.855225*L193)</f>
        <v>0.705392848391512</v>
      </c>
      <c r="O193" s="35" t="n">
        <f aca="false">22640*SIN(P193)-4586*SIN(P193-2*R193)+2370*SIN(2*R193)+769*SIN(2*P193)-668*SIN(Q193)-412*SIN(2*S193)-212*SIN(2*P193-2*R193)-206*SIN(P193+Q193-2*R193)+192*SIN(P193+2*R193)-165*SIN(Q193-2*R193)-125*SIN(R193)-110*SIN(P193+Q193)+148*SIN(P193-Q193)-55*SIN(2*S193-2*R193)</f>
        <v>-16164.1264412152</v>
      </c>
      <c r="P193" s="32" t="n">
        <f aca="false">2*PI()*(0.374897+1325.55241*L193 - INT(0.374897+1325.55241*L193))</f>
        <v>5.83162405362121</v>
      </c>
      <c r="Q193" s="36" t="n">
        <f aca="false">2*PI()*(0.993133+99.997361*L193 - INT(0.993133+99.997361*L193))</f>
        <v>3.2387817193657</v>
      </c>
      <c r="R193" s="36" t="n">
        <f aca="false">2*PI()*(0.827361+1236.853086*L193 - INT(0.827361+1236.853086*L193))</f>
        <v>2.53155556943411</v>
      </c>
      <c r="S193" s="36" t="n">
        <f aca="false">2*PI()*(0.259086+1342.227825*L193 - INT(0.259086+1342.227825*L193))</f>
        <v>3.5695577384541</v>
      </c>
      <c r="T193" s="36" t="n">
        <f aca="false">S193+(O193+412*SIN(2*S193)+541*SIN(Q193))/206264.8062</f>
        <v>3.49244575450687</v>
      </c>
      <c r="U193" s="36" t="n">
        <f aca="false">S193-2*R193</f>
        <v>-1.49355340041411</v>
      </c>
      <c r="V193" s="34" t="n">
        <f aca="false">-526*SIN(U193)+44*SIN(P193+U193)-31*SIN(-P193+U193)-23*SIN(Q193+U193)+11*SIN(-Q193+U193)-25*SIN(-2*P193+S193)+21*SIN(-P193+S193)</f>
        <v>506.696860055325</v>
      </c>
      <c r="W193" s="36" t="n">
        <f aca="false">2*PI()*(N193+O193/1296000-INT(N193+O193/1296000))</f>
        <v>4.35374808438425</v>
      </c>
      <c r="X193" s="35" t="n">
        <f aca="false">W193*180/PI()</f>
        <v>249.451390298384</v>
      </c>
      <c r="Y193" s="36" t="n">
        <f aca="false">(18520*SIN(T193)+V193)/206264.8062</f>
        <v>-0.0284033417127399</v>
      </c>
      <c r="Z193" s="36" t="n">
        <f aca="false">Y193*180/PI()</f>
        <v>-1.62739160420788</v>
      </c>
      <c r="AA193" s="36" t="n">
        <f aca="false">COS(Y193)*COS(W193)</f>
        <v>-0.350860351343951</v>
      </c>
      <c r="AB193" s="36" t="n">
        <f aca="false">COS(Y193)*SIN(W193)</f>
        <v>-0.935997051789928</v>
      </c>
      <c r="AC193" s="36" t="n">
        <f aca="false">SIN(Y193)</f>
        <v>-0.0283995228016506</v>
      </c>
      <c r="AD193" s="36" t="n">
        <f aca="false">COS($A$10*(23.4393-46.815*L193/3600))*AB193-SIN($A$10*(23.4393-46.815*L193/3600))*AC193</f>
        <v>-0.84748412546184</v>
      </c>
      <c r="AE193" s="36" t="n">
        <f aca="false">SIN($A$10*(23.4393-46.815*L193/3600))*AB193+COS($A$10*(23.4393-46.815*L193/3600))*AC193</f>
        <v>-0.398331107177157</v>
      </c>
      <c r="AF193" s="36" t="n">
        <f aca="false">SQRT(1-AE193*AE193)</f>
        <v>0.917241696094885</v>
      </c>
      <c r="AG193" s="35" t="n">
        <f aca="false">ATAN(AE193/AF193)/$A$10</f>
        <v>-23.4738893085812</v>
      </c>
      <c r="AH193" s="36" t="n">
        <f aca="false">IF(24*ATAN(AD193/(AA193+AF193))/PI()&gt;0,24*ATAN(AD193/(AA193+AF193))/PI(),24*ATAN(AD193/(AA193+AF193))/PI()+24)</f>
        <v>16.500688936608</v>
      </c>
      <c r="AI193" s="63" t="n">
        <f aca="false">IF(M193-15*AH193&gt;0,M193-15*AH193,360+M193-15*AH193)</f>
        <v>56.3783627843933</v>
      </c>
      <c r="AJ193" s="32" t="n">
        <f aca="false">0.950724+0.051818*COS(P193)+0.009531*COS(2*R193-P193)+0.007843*COS(2*R193)+0.002824*COS(2*P193)+0.000857*COS(2*R193+P193)+0.000533*COS(2*R193-Q193)*(1-0.002495*(J193-2415020)/36525)+0.000401*COS(2*R193-Q193-P193)*(1-0.002495*(J193-2415020)/36525)+0.00032*COS(P193-Q193)*(1-0.002495*(J193-2415020)/36525)-0.000271*COS(R193)</f>
        <v>1.00811485230497</v>
      </c>
      <c r="AK193" s="36" t="n">
        <f aca="false">ASIN(COS($A$10*$B$5)*COS($A$10*AG193)*COS($A$10*AI193)+SIN($A$10*$B$5)*SIN($A$10*AG193))/$A$10</f>
        <v>1.22170196644155</v>
      </c>
      <c r="AL193" s="32" t="n">
        <f aca="false">ASIN((0.9983271+0.0016764*COS($A$10*2*$B$5))*COS($A$10*AK193)*SIN($A$10*AJ193))/$A$10</f>
        <v>1.00590596848888</v>
      </c>
      <c r="AM193" s="32" t="n">
        <f aca="false">AK193-AL193</f>
        <v>0.215795997952668</v>
      </c>
      <c r="AN193" s="35" t="n">
        <f aca="false"> MOD(280.4664567 + 360007.6982779*L193/10 + 0.03032028*L193^2/100 + L193^3/49931000,360)</f>
        <v>108.894479974791</v>
      </c>
      <c r="AO193" s="32" t="n">
        <f aca="false"> AN193 + (1.9146 - 0.004817*L193 - 0.000014*L193^2)*SIN(Q193)+ (0.019993 - 0.000101*L193)*SIN(2*Q193)+ 0.00029*SIN(3*Q193)</f>
        <v>108.712573958352</v>
      </c>
      <c r="AP193" s="32" t="n">
        <f aca="false">ACOS(COS(W193-$A$10*AO193)*COS(Y193))/$A$10</f>
        <v>140.710550752881</v>
      </c>
      <c r="AQ193" s="34" t="n">
        <f aca="false">180 - AP193 -0.1468*(1-0.0549*SIN(Q193))*SIN($A$10*AP193)/(1-0.0167*SIN($A$10*AO193))</f>
        <v>39.19449268401</v>
      </c>
      <c r="AR193" s="64" t="n">
        <f aca="false">SIN($A$10*AI193)</f>
        <v>0.832712198176406</v>
      </c>
      <c r="AS193" s="64" t="n">
        <f aca="false">COS($A$10*AI193)*SIN($A$10*$B$5) - TAN($A$10*AG193)*COS($A$10*$B$5)</f>
        <v>0.703307211085772</v>
      </c>
      <c r="AT193" s="24" t="n">
        <f aca="false">IF(OR(AND(AR193*AS193&gt;0), AND(AR193&lt;0,AS193&gt;0)), MOD(ATAN2(AS193,AR193)/$A$10+360,360),  ATAN2(AS193,AR193)/$A$10)</f>
        <v>49.8156244757855</v>
      </c>
      <c r="AU193" s="39" t="n">
        <f aca="false"> 385000.56 + (-20905355*COS(P193) - 3699111*COS(2*R193-P193) - 2955968*COS(2*R193) - 569925*COS(2*P193) + (1-0.002516*L193)*48888*COS(Q193) - 3149*COS(2*S193)  +246158*COS(2*R193-2*P193) -(1 - 0.002516*L193)*152138*COS(2*R193-Q193-P193) -170733*COS(2*R193+P193) -(1 - 0.002516*L193)*204586*COS(2*R193-Q193) -(1 - 0.002516*L193)*129620*COS(Q193-P193)  + 108743*COS(R193) +(1-0.002516*L193)*104755*COS(Q193+P193) +10321*COS(2*R193-2*S193) +79661*COS(P193-2*S193) -34782*COS(4*R193-P193) -23210*COS(3*P193)  -21636*COS(4*R193-2*P193) +(1 - 0.002516*L193)*24208*COS(2*R193+Q193-P193) +(1 - 0.002516*L193)*30824*COS(2*R193+Q193) -8379*COS(R193-P193) -(1 - 0.002516*L193)*16675*COS(R193+Q193)  -(1 - 0.002516*L193)*12831*COS(2*R193-Q193+P193) -10445*COS(2*R193+2*P193) -11650*COS(4*R193) +14403*COS(2*R193-3*P193) -(1-0.002516*L193)*7003*COS(Q193-2*P193)  + (1 - 0.002516*L193)*10056*COS(2*R193-Q193-2*P193) +6322*COS(R193+P193) -(1 - 0.002516*L193)*(1-0.002516*L193)*9884*COS(2*R193-2*Q193) +(1-0.002516*L193)*5751*COS(Q193+2*P193) - (1-0.002516*L193)^2*4950*COS(2*R193-2*Q193-P193)  +4130*COS(2*R193+P193-2*S193) -(1-0.002516*L193)*3958*COS(4*R193-Q193-P193) +3258*COS(3*R193-P193) +(1 - 0.002516*L193)*2616*COS(2*R193+Q193+P193) -(1 - 0.002516*L193)*1897*COS(4*R193-Q193-2*P193)  -(1-0.002516*L193)^2*2117*COS(2*Q193-P193) +(1-0.002516*L193)^2*2354*COS(2*R193+2*Q193-P193) -1423*COS(4*R193+P193) -1117*COS(4*P193) -(1-0.002516*L193)*1571*COS(4*R193-Q193)  -1739*COS(R193-2*P193) -4421*COS(2*P193-2*S193) +(1-0.002516*L193)^2*1165*COS(2*Q193+P193) +8752*COS(2*R193-P193-2*S193))/1000</f>
        <v>362428.730253864</v>
      </c>
      <c r="AV193" s="54" t="n">
        <f aca="false">ATAN(0.99664719*TAN($A$10*input!$E$2))</f>
        <v>0.871010436227447</v>
      </c>
      <c r="AW193" s="54" t="n">
        <f aca="false">COS(AV193)</f>
        <v>0.644053912545845</v>
      </c>
      <c r="AX193" s="54" t="n">
        <f aca="false">0.99664719*SIN(AV193)</f>
        <v>0.762415269897027</v>
      </c>
      <c r="AY193" s="54" t="n">
        <f aca="false">6378.14/AU193</f>
        <v>0.0175983289060236</v>
      </c>
      <c r="AZ193" s="55" t="n">
        <f aca="false">M193-15*AH193</f>
        <v>56.3783627843933</v>
      </c>
      <c r="BA193" s="56" t="n">
        <f aca="false">COS($A$10*AG193)*SIN($A$10*AZ193)</f>
        <v>0.763798349014226</v>
      </c>
      <c r="BB193" s="56" t="n">
        <f aca="false">COS($A$10*AG193)*COS($A$10*AZ193)-AW193*AY193</f>
        <v>0.496548008162174</v>
      </c>
      <c r="BC193" s="56" t="n">
        <f aca="false">SIN($A$10*AG193)-AX193*AY193</f>
        <v>-0.411748341859779</v>
      </c>
      <c r="BD193" s="57" t="n">
        <f aca="false">SQRT(BA193^2+BB193^2+BC193^2)</f>
        <v>0.999742236474461</v>
      </c>
      <c r="BE193" s="58" t="n">
        <f aca="false">AU193*BD193</f>
        <v>362335.309346597</v>
      </c>
    </row>
    <row r="194" customFormat="false" ht="15" hidden="false" customHeight="false" outlineLevel="0" collapsed="false">
      <c r="D194" s="41" t="n">
        <f aca="false">K194-INT(275*E194/9)+IF($A$8="common year",2,1)*INT((E194+9)/12)+30</f>
        <v>12</v>
      </c>
      <c r="E194" s="41" t="n">
        <f aca="false">IF(K194&lt;32,1,INT(9*(IF($A$8="common year",2,1)+K194)/275+0.98))</f>
        <v>7</v>
      </c>
      <c r="F194" s="42" t="n">
        <f aca="false">AM194</f>
        <v>4.56993172618893</v>
      </c>
      <c r="G194" s="60" t="n">
        <f aca="false">F194+1.02/(TAN($A$10*(F194+10.3/(F194+5.11)))*60)</f>
        <v>4.74225846083961</v>
      </c>
      <c r="H194" s="43" t="n">
        <f aca="false">100*(1+COS($A$10*AQ194))/2</f>
        <v>95.1766137638011</v>
      </c>
      <c r="I194" s="43" t="n">
        <f aca="false">IF(AI194&gt;180,AT194-180,AT194+180)</f>
        <v>216.399467613471</v>
      </c>
      <c r="J194" s="61" t="n">
        <f aca="false">$J$2+K193</f>
        <v>2459772.5</v>
      </c>
      <c r="K194" s="21" t="n">
        <v>193</v>
      </c>
      <c r="L194" s="62" t="n">
        <f aca="false">(J194-2451545)/36525</f>
        <v>0.225256673511294</v>
      </c>
      <c r="M194" s="63" t="n">
        <f aca="false">MOD(280.46061837+360.98564736629*(J194-2451545)+0.000387933*L194^2-L194^3/38710000+$B$7,360)</f>
        <v>304.874344204553</v>
      </c>
      <c r="N194" s="30" t="n">
        <f aca="false">0.606433+1336.855225*L194 - INT(0.606433+1336.855225*L194)</f>
        <v>0.74199394969196</v>
      </c>
      <c r="O194" s="35" t="n">
        <f aca="false">22640*SIN(P194)-4586*SIN(P194-2*R194)+2370*SIN(2*R194)+769*SIN(2*P194)-668*SIN(Q194)-412*SIN(2*S194)-212*SIN(2*P194-2*R194)-206*SIN(P194+Q194-2*R194)+192*SIN(P194+2*R194)-165*SIN(Q194-2*R194)-125*SIN(R194)-110*SIN(P194+Q194)+148*SIN(P194-Q194)-55*SIN(2*S194-2*R194)</f>
        <v>-9877.02679155463</v>
      </c>
      <c r="P194" s="32" t="n">
        <f aca="false">2*PI()*(0.374897+1325.55241*L194 - INT(0.374897+1325.55241*L194))</f>
        <v>6.05965119739667</v>
      </c>
      <c r="Q194" s="36" t="n">
        <f aca="false">2*PI()*(0.993133+99.997361*L194 - INT(0.993133+99.997361*L194))</f>
        <v>3.25598368923268</v>
      </c>
      <c r="R194" s="36" t="n">
        <f aca="false">2*PI()*(0.827361+1236.853086*L194 - INT(0.827361+1236.853086*L194))</f>
        <v>2.74432427955313</v>
      </c>
      <c r="S194" s="36" t="n">
        <f aca="false">2*PI()*(0.259086+1342.227825*L194 - INT(0.259086+1342.227825*L194))</f>
        <v>3.80045345779511</v>
      </c>
      <c r="T194" s="36" t="n">
        <f aca="false">S194+(O194+412*SIN(2*S194)+541*SIN(Q194))/206264.8062</f>
        <v>3.75420271334337</v>
      </c>
      <c r="U194" s="36" t="n">
        <f aca="false">S194-2*R194</f>
        <v>-1.68819510131115</v>
      </c>
      <c r="V194" s="34" t="n">
        <f aca="false">-526*SIN(U194)+44*SIN(P194+U194)-31*SIN(-P194+U194)-23*SIN(Q194+U194)+11*SIN(-Q194+U194)-25*SIN(-2*P194+S194)+21*SIN(-P194+S194)</f>
        <v>505.572874327283</v>
      </c>
      <c r="W194" s="36" t="n">
        <f aca="false">2*PI()*(N194+O194/1296000-INT(N194+O194/1296000))</f>
        <v>4.61420030554836</v>
      </c>
      <c r="X194" s="35" t="n">
        <f aca="false">W194*180/PI()</f>
        <v>264.374203335896</v>
      </c>
      <c r="Y194" s="36" t="n">
        <f aca="false">(18520*SIN(T194)+V194)/206264.8062</f>
        <v>-0.0491771567224785</v>
      </c>
      <c r="Z194" s="36" t="n">
        <f aca="false">Y194*180/PI()</f>
        <v>-2.81764352865142</v>
      </c>
      <c r="AA194" s="36" t="n">
        <f aca="false">COS(Y194)*COS(W194)</f>
        <v>-0.0979124629630564</v>
      </c>
      <c r="AB194" s="36" t="n">
        <f aca="false">COS(Y194)*SIN(W194)</f>
        <v>-0.993980234092122</v>
      </c>
      <c r="AC194" s="36" t="n">
        <f aca="false">SIN(Y194)</f>
        <v>-0.0491573375060037</v>
      </c>
      <c r="AD194" s="36" t="n">
        <f aca="false">COS($A$10*(23.4393-46.815*L194/3600))*AB194-SIN($A$10*(23.4393-46.815*L194/3600))*AC194</f>
        <v>-0.892427819372706</v>
      </c>
      <c r="AE194" s="36" t="n">
        <f aca="false">SIN($A$10*(23.4393-46.815*L194/3600))*AB194+COS($A$10*(23.4393-46.815*L194/3600))*AC194</f>
        <v>-0.440438119156579</v>
      </c>
      <c r="AF194" s="36" t="n">
        <f aca="false">SQRT(1-AE194*AE194)</f>
        <v>0.897782971098146</v>
      </c>
      <c r="AG194" s="35" t="n">
        <f aca="false">ATAN(AE194/AF194)/$A$10</f>
        <v>-26.1318382007873</v>
      </c>
      <c r="AH194" s="36" t="n">
        <f aca="false">IF(24*ATAN(AD194/(AA194+AF194))/PI()&gt;0,24*ATAN(AD194/(AA194+AF194))/PI(),24*ATAN(AD194/(AA194+AF194))/PI()+24)</f>
        <v>17.5825901517742</v>
      </c>
      <c r="AI194" s="63" t="n">
        <f aca="false">IF(M194-15*AH194&gt;0,M194-15*AH194,360+M194-15*AH194)</f>
        <v>41.1354919279402</v>
      </c>
      <c r="AJ194" s="32" t="n">
        <f aca="false">0.950724+0.051818*COS(P194)+0.009531*COS(2*R194-P194)+0.007843*COS(2*R194)+0.002824*COS(2*P194)+0.000857*COS(2*R194+P194)+0.000533*COS(2*R194-Q194)*(1-0.002495*(J194-2415020)/36525)+0.000401*COS(2*R194-Q194-P194)*(1-0.002495*(J194-2415020)/36525)+0.00032*COS(P194-Q194)*(1-0.002495*(J194-2415020)/36525)-0.000271*COS(R194)</f>
        <v>1.01707592947488</v>
      </c>
      <c r="AK194" s="36" t="n">
        <f aca="false">ASIN(COS($A$10*$B$5)*COS($A$10*AG194)*COS($A$10*AI194)+SIN($A$10*$B$5)*SIN($A$10*AG194))/$A$10</f>
        <v>5.58019901560666</v>
      </c>
      <c r="AL194" s="32" t="n">
        <f aca="false">ASIN((0.9983271+0.0016764*COS($A$10*2*$B$5))*COS($A$10*AK194)*SIN($A$10*AJ194))/$A$10</f>
        <v>1.01026728941773</v>
      </c>
      <c r="AM194" s="32" t="n">
        <f aca="false">AK194-AL194</f>
        <v>4.56993172618893</v>
      </c>
      <c r="AN194" s="35" t="n">
        <f aca="false"> MOD(280.4664567 + 360007.6982779*L194/10 + 0.03032028*L194^2/100 + L194^3/49931000,360)</f>
        <v>109.880127338634</v>
      </c>
      <c r="AO194" s="32" t="n">
        <f aca="false"> AN194 + (1.9146 - 0.004817*L194 - 0.000014*L194^2)*SIN(Q194)+ (0.019993 - 0.000101*L194)*SIN(2*Q194)+ 0.00029*SIN(3*Q194)</f>
        <v>109.666147027967</v>
      </c>
      <c r="AP194" s="32" t="n">
        <f aca="false">ACOS(COS(W194-$A$10*AO194)*COS(Y194))/$A$10</f>
        <v>154.561860180001</v>
      </c>
      <c r="AQ194" s="34" t="n">
        <f aca="false">180 - AP194 -0.1468*(1-0.0549*SIN(Q194))*SIN($A$10*AP194)/(1-0.0167*SIN($A$10*AO194))</f>
        <v>25.3736749838476</v>
      </c>
      <c r="AR194" s="64" t="n">
        <f aca="false">SIN($A$10*AI194)</f>
        <v>0.657841915237636</v>
      </c>
      <c r="AS194" s="64" t="n">
        <f aca="false">COS($A$10*AI194)*SIN($A$10*$B$5) - TAN($A$10*AG194)*COS($A$10*$B$5)</f>
        <v>0.892292426055312</v>
      </c>
      <c r="AT194" s="24" t="n">
        <f aca="false">IF(OR(AND(AR194*AS194&gt;0), AND(AR194&lt;0,AS194&gt;0)), MOD(ATAN2(AS194,AR194)/$A$10+360,360),  ATAN2(AS194,AR194)/$A$10)</f>
        <v>36.3994676134715</v>
      </c>
      <c r="AU194" s="39" t="n">
        <f aca="false"> 385000.56 + (-20905355*COS(P194) - 3699111*COS(2*R194-P194) - 2955968*COS(2*R194) - 569925*COS(2*P194) + (1-0.002516*L194)*48888*COS(Q194) - 3149*COS(2*S194)  +246158*COS(2*R194-2*P194) -(1 - 0.002516*L194)*152138*COS(2*R194-Q194-P194) -170733*COS(2*R194+P194) -(1 - 0.002516*L194)*204586*COS(2*R194-Q194) -(1 - 0.002516*L194)*129620*COS(Q194-P194)  + 108743*COS(R194) +(1-0.002516*L194)*104755*COS(Q194+P194) +10321*COS(2*R194-2*S194) +79661*COS(P194-2*S194) -34782*COS(4*R194-P194) -23210*COS(3*P194)  -21636*COS(4*R194-2*P194) +(1 - 0.002516*L194)*24208*COS(2*R194+Q194-P194) +(1 - 0.002516*L194)*30824*COS(2*R194+Q194) -8379*COS(R194-P194) -(1 - 0.002516*L194)*16675*COS(R194+Q194)  -(1 - 0.002516*L194)*12831*COS(2*R194-Q194+P194) -10445*COS(2*R194+2*P194) -11650*COS(4*R194) +14403*COS(2*R194-3*P194) -(1-0.002516*L194)*7003*COS(Q194-2*P194)  + (1 - 0.002516*L194)*10056*COS(2*R194-Q194-2*P194) +6322*COS(R194+P194) -(1 - 0.002516*L194)*(1-0.002516*L194)*9884*COS(2*R194-2*Q194) +(1-0.002516*L194)*5751*COS(Q194+2*P194) - (1-0.002516*L194)^2*4950*COS(2*R194-2*Q194-P194)  +4130*COS(2*R194+P194-2*S194) -(1-0.002516*L194)*3958*COS(4*R194-Q194-P194) +3258*COS(3*R194-P194) +(1 - 0.002516*L194)*2616*COS(2*R194+Q194+P194) -(1 - 0.002516*L194)*1897*COS(4*R194-Q194-2*P194)  -(1-0.002516*L194)^2*2117*COS(2*Q194-P194) +(1-0.002516*L194)^2*2354*COS(2*R194+2*Q194-P194) -1423*COS(4*R194+P194) -1117*COS(4*P194) -(1-0.002516*L194)*1571*COS(4*R194-Q194)  -1739*COS(R194-2*P194) -4421*COS(2*P194-2*S194) +(1-0.002516*L194)^2*1165*COS(2*Q194+P194) +8752*COS(2*R194-P194-2*S194))/1000</f>
        <v>359070.942342923</v>
      </c>
      <c r="AV194" s="54" t="n">
        <f aca="false">ATAN(0.99664719*TAN($A$10*input!$E$2))</f>
        <v>0.871010436227447</v>
      </c>
      <c r="AW194" s="54" t="n">
        <f aca="false">COS(AV194)</f>
        <v>0.644053912545845</v>
      </c>
      <c r="AX194" s="54" t="n">
        <f aca="false">0.99664719*SIN(AV194)</f>
        <v>0.762415269897027</v>
      </c>
      <c r="AY194" s="54" t="n">
        <f aca="false">6378.14/AU194</f>
        <v>0.017762896541789</v>
      </c>
      <c r="AZ194" s="55" t="n">
        <f aca="false">M194-15*AH194</f>
        <v>41.1354919279402</v>
      </c>
      <c r="BA194" s="56" t="n">
        <f aca="false">COS($A$10*AG194)*SIN($A$10*AZ194)</f>
        <v>0.59059926917494</v>
      </c>
      <c r="BB194" s="56" t="n">
        <f aca="false">COS($A$10*AG194)*COS($A$10*AZ194)-AW194*AY194</f>
        <v>0.66473040068067</v>
      </c>
      <c r="BC194" s="56" t="n">
        <f aca="false">SIN($A$10*AG194)-AX194*AY194</f>
        <v>-0.45398082271764</v>
      </c>
      <c r="BD194" s="57" t="n">
        <f aca="false">SQRT(BA194^2+BB194^2+BC194^2)</f>
        <v>0.998384990739766</v>
      </c>
      <c r="BE194" s="58" t="n">
        <f aca="false">AU194*BD194</f>
        <v>358491.039445958</v>
      </c>
    </row>
    <row r="195" customFormat="false" ht="15" hidden="false" customHeight="false" outlineLevel="0" collapsed="false">
      <c r="D195" s="41" t="n">
        <f aca="false">K195-INT(275*E195/9)+IF($A$8="common year",2,1)*INT((E195+9)/12)+30</f>
        <v>13</v>
      </c>
      <c r="E195" s="41" t="n">
        <f aca="false">IF(K195&lt;32,1,INT(9*(IF($A$8="common year",2,1)+K195)/275+0.98))</f>
        <v>7</v>
      </c>
      <c r="F195" s="42" t="n">
        <f aca="false">AM195</f>
        <v>8.90118473010487</v>
      </c>
      <c r="G195" s="60" t="n">
        <f aca="false">F195+1.02/(TAN($A$10*(F195+10.3/(F195+5.11)))*60)</f>
        <v>9.00130882570611</v>
      </c>
      <c r="H195" s="43" t="n">
        <f aca="false">100*(1+COS($A$10*AQ195))/2</f>
        <v>98.9630169653937</v>
      </c>
      <c r="I195" s="43" t="n">
        <f aca="false">IF(AI195&gt;180,AT195-180,AT195+180)</f>
        <v>202.652174660669</v>
      </c>
      <c r="J195" s="61" t="n">
        <f aca="false">$J$2+K194</f>
        <v>2459773.5</v>
      </c>
      <c r="K195" s="21" t="n">
        <v>194</v>
      </c>
      <c r="L195" s="62" t="n">
        <f aca="false">(J195-2451545)/36525</f>
        <v>0.225284052019165</v>
      </c>
      <c r="M195" s="63" t="n">
        <f aca="false">MOD(280.46061837+360.98564736629*(J195-2451545)+0.000387933*L195^2-L195^3/38710000+$B$7,360)</f>
        <v>305.859991575591</v>
      </c>
      <c r="N195" s="30" t="n">
        <f aca="false">0.606433+1336.855225*L195 - INT(0.606433+1336.855225*L195)</f>
        <v>0.778595050992465</v>
      </c>
      <c r="O195" s="35" t="n">
        <f aca="false">22640*SIN(P195)-4586*SIN(P195-2*R195)+2370*SIN(2*R195)+769*SIN(2*P195)-668*SIN(Q195)-412*SIN(2*S195)-212*SIN(2*P195-2*R195)-206*SIN(P195+Q195-2*R195)+192*SIN(P195+2*R195)-165*SIN(Q195-2*R195)-125*SIN(R195)-110*SIN(P195+Q195)+148*SIN(P195-Q195)-55*SIN(2*S195-2*R195)</f>
        <v>-2738.01911318311</v>
      </c>
      <c r="P195" s="32" t="n">
        <f aca="false">2*PI()*(0.374897+1325.55241*L195 - INT(0.374897+1325.55241*L195))</f>
        <v>0.00449303399290042</v>
      </c>
      <c r="Q195" s="36" t="n">
        <f aca="false">2*PI()*(0.993133+99.997361*L195 - INT(0.993133+99.997361*L195))</f>
        <v>3.27318565909969</v>
      </c>
      <c r="R195" s="36" t="n">
        <f aca="false">2*PI()*(0.827361+1236.853086*L195 - INT(0.827361+1236.853086*L195))</f>
        <v>2.95709298967216</v>
      </c>
      <c r="S195" s="36" t="n">
        <f aca="false">2*PI()*(0.259086+1342.227825*L195 - INT(0.259086+1342.227825*L195))</f>
        <v>4.03134917713611</v>
      </c>
      <c r="T195" s="36" t="n">
        <f aca="false">S195+(O195+412*SIN(2*S195)+541*SIN(Q195))/206264.8062</f>
        <v>4.01968481682635</v>
      </c>
      <c r="U195" s="36" t="n">
        <f aca="false">S195-2*R195</f>
        <v>-1.8828368022082</v>
      </c>
      <c r="V195" s="34" t="n">
        <f aca="false">-526*SIN(U195)+44*SIN(P195+U195)-31*SIN(-P195+U195)-23*SIN(Q195+U195)+11*SIN(-Q195+U195)-25*SIN(-2*P195+S195)+21*SIN(-P195+S195)</f>
        <v>478.457091647599</v>
      </c>
      <c r="W195" s="36" t="n">
        <f aca="false">2*PI()*(N195+O195/1296000-INT(N195+O195/1296000))</f>
        <v>4.87878269338649</v>
      </c>
      <c r="X195" s="35" t="n">
        <f aca="false">W195*180/PI()</f>
        <v>279.533657492514</v>
      </c>
      <c r="Y195" s="36" t="n">
        <f aca="false">(18520*SIN(T195)+V195)/206264.8062</f>
        <v>-0.0667738170495</v>
      </c>
      <c r="Z195" s="36" t="n">
        <f aca="false">Y195*180/PI()</f>
        <v>-3.82585789891505</v>
      </c>
      <c r="AA195" s="36" t="n">
        <f aca="false">COS(Y195)*COS(W195)</f>
        <v>0.165257848300468</v>
      </c>
      <c r="AB195" s="36" t="n">
        <f aca="false">COS(Y195)*SIN(W195)</f>
        <v>-0.983990713263439</v>
      </c>
      <c r="AC195" s="36" t="n">
        <f aca="false">SIN(Y195)</f>
        <v>-0.066724206899813</v>
      </c>
      <c r="AD195" s="36" t="n">
        <f aca="false">COS($A$10*(23.4393-46.815*L195/3600))*AB195-SIN($A$10*(23.4393-46.815*L195/3600))*AC195</f>
        <v>-0.876275535658895</v>
      </c>
      <c r="AE195" s="36" t="n">
        <f aca="false">SIN($A$10*(23.4393-46.815*L195/3600))*AB195+COS($A$10*(23.4393-46.815*L195/3600))*AC195</f>
        <v>-0.452582621386213</v>
      </c>
      <c r="AF195" s="36" t="n">
        <f aca="false">SQRT(1-AE195*AE195)</f>
        <v>0.891722474102332</v>
      </c>
      <c r="AG195" s="35" t="n">
        <f aca="false">ATAN(AE195/AF195)/$A$10</f>
        <v>-26.9095033838329</v>
      </c>
      <c r="AH195" s="36" t="n">
        <f aca="false">IF(24*ATAN(AD195/(AA195+AF195))/PI()&gt;0,24*ATAN(AD195/(AA195+AF195))/PI(),24*ATAN(AD195/(AA195+AF195))/PI()+24)</f>
        <v>18.7120027135116</v>
      </c>
      <c r="AI195" s="63" t="n">
        <f aca="false">IF(M195-15*AH195&gt;0,M195-15*AH195,360+M195-15*AH195)</f>
        <v>25.1799508729171</v>
      </c>
      <c r="AJ195" s="32" t="n">
        <f aca="false">0.950724+0.051818*COS(P195)+0.009531*COS(2*R195-P195)+0.007843*COS(2*R195)+0.002824*COS(2*P195)+0.000857*COS(2*R195+P195)+0.000533*COS(2*R195-Q195)*(1-0.002495*(J195-2415020)/36525)+0.000401*COS(2*R195-Q195-P195)*(1-0.002495*(J195-2415020)/36525)+0.00032*COS(P195-Q195)*(1-0.002495*(J195-2415020)/36525)-0.000271*COS(R195)</f>
        <v>1.02148898293304</v>
      </c>
      <c r="AK195" s="36" t="n">
        <f aca="false">ASIN(COS($A$10*$B$5)*COS($A$10*AG195)*COS($A$10*AI195)+SIN($A$10*$B$5)*SIN($A$10*AG195))/$A$10</f>
        <v>9.90546820926429</v>
      </c>
      <c r="AL195" s="32" t="n">
        <f aca="false">ASIN((0.9983271+0.0016764*COS($A$10*2*$B$5))*COS($A$10*AK195)*SIN($A$10*AJ195))/$A$10</f>
        <v>1.00428347915941</v>
      </c>
      <c r="AM195" s="32" t="n">
        <f aca="false">AK195-AL195</f>
        <v>8.90118473010487</v>
      </c>
      <c r="AN195" s="35" t="n">
        <f aca="false"> MOD(280.4664567 + 360007.6982779*L195/10 + 0.03032028*L195^2/100 + L195^3/49931000,360)</f>
        <v>110.865774702479</v>
      </c>
      <c r="AO195" s="32" t="n">
        <f aca="false"> AN195 + (1.9146 - 0.004817*L195 - 0.000014*L195^2)*SIN(Q195)+ (0.019993 - 0.000101*L195)*SIN(2*Q195)+ 0.00029*SIN(3*Q195)</f>
        <v>110.619779629647</v>
      </c>
      <c r="AP195" s="32" t="n">
        <f aca="false">ACOS(COS(W195-$A$10*AO195)*COS(Y195))/$A$10</f>
        <v>168.280097343072</v>
      </c>
      <c r="AQ195" s="34" t="n">
        <f aca="false">180 - AP195 -0.1468*(1-0.0549*SIN(Q195))*SIN($A$10*AP195)/(1-0.0167*SIN($A$10*AO195))</f>
        <v>11.6893918553296</v>
      </c>
      <c r="AR195" s="64" t="n">
        <f aca="false">SIN($A$10*AI195)</f>
        <v>0.425462645454182</v>
      </c>
      <c r="AS195" s="64" t="n">
        <f aca="false">COS($A$10*AI195)*SIN($A$10*$B$5) - TAN($A$10*AG195)*COS($A$10*$B$5)</f>
        <v>1.019490661442</v>
      </c>
      <c r="AT195" s="24" t="n">
        <f aca="false">IF(OR(AND(AR195*AS195&gt;0), AND(AR195&lt;0,AS195&gt;0)), MOD(ATAN2(AS195,AR195)/$A$10+360,360),  ATAN2(AS195,AR195)/$A$10)</f>
        <v>22.6521746606688</v>
      </c>
      <c r="AU195" s="39" t="n">
        <f aca="false"> 385000.56 + (-20905355*COS(P195) - 3699111*COS(2*R195-P195) - 2955968*COS(2*R195) - 569925*COS(2*P195) + (1-0.002516*L195)*48888*COS(Q195) - 3149*COS(2*S195)  +246158*COS(2*R195-2*P195) -(1 - 0.002516*L195)*152138*COS(2*R195-Q195-P195) -170733*COS(2*R195+P195) -(1 - 0.002516*L195)*204586*COS(2*R195-Q195) -(1 - 0.002516*L195)*129620*COS(Q195-P195)  + 108743*COS(R195) +(1-0.002516*L195)*104755*COS(Q195+P195) +10321*COS(2*R195-2*S195) +79661*COS(P195-2*S195) -34782*COS(4*R195-P195) -23210*COS(3*P195)  -21636*COS(4*R195-2*P195) +(1 - 0.002516*L195)*24208*COS(2*R195+Q195-P195) +(1 - 0.002516*L195)*30824*COS(2*R195+Q195) -8379*COS(R195-P195) -(1 - 0.002516*L195)*16675*COS(R195+Q195)  -(1 - 0.002516*L195)*12831*COS(2*R195-Q195+P195) -10445*COS(2*R195+2*P195) -11650*COS(4*R195) +14403*COS(2*R195-3*P195) -(1-0.002516*L195)*7003*COS(Q195-2*P195)  + (1 - 0.002516*L195)*10056*COS(2*R195-Q195-2*P195) +6322*COS(R195+P195) -(1 - 0.002516*L195)*(1-0.002516*L195)*9884*COS(2*R195-2*Q195) +(1-0.002516*L195)*5751*COS(Q195+2*P195) - (1-0.002516*L195)^2*4950*COS(2*R195-2*Q195-P195)  +4130*COS(2*R195+P195-2*S195) -(1-0.002516*L195)*3958*COS(4*R195-Q195-P195) +3258*COS(3*R195-P195) +(1 - 0.002516*L195)*2616*COS(2*R195+Q195+P195) -(1 - 0.002516*L195)*1897*COS(4*R195-Q195-2*P195)  -(1-0.002516*L195)^2*2117*COS(2*Q195-P195) +(1-0.002516*L195)^2*2354*COS(2*R195+2*Q195-P195) -1423*COS(4*R195+P195) -1117*COS(4*P195) -(1-0.002516*L195)*1571*COS(4*R195-Q195)  -1739*COS(R195-2*P195) -4421*COS(2*P195-2*S195) +(1-0.002516*L195)^2*1165*COS(2*Q195+P195) +8752*COS(2*R195-P195-2*S195))/1000</f>
        <v>357402.676786795</v>
      </c>
      <c r="AV195" s="54" t="n">
        <f aca="false">ATAN(0.99664719*TAN($A$10*input!$E$2))</f>
        <v>0.871010436227447</v>
      </c>
      <c r="AW195" s="54" t="n">
        <f aca="false">COS(AV195)</f>
        <v>0.644053912545845</v>
      </c>
      <c r="AX195" s="54" t="n">
        <f aca="false">0.99664719*SIN(AV195)</f>
        <v>0.762415269897027</v>
      </c>
      <c r="AY195" s="54" t="n">
        <f aca="false">6378.14/AU195</f>
        <v>0.0178458092629363</v>
      </c>
      <c r="AZ195" s="55" t="n">
        <f aca="false">M195-15*AH195</f>
        <v>25.1799508729171</v>
      </c>
      <c r="BA195" s="56" t="n">
        <f aca="false">COS($A$10*AG195)*SIN($A$10*AZ195)</f>
        <v>0.379394602842526</v>
      </c>
      <c r="BB195" s="56" t="n">
        <f aca="false">COS($A$10*AG195)*COS($A$10*AZ195)-AW195*AY195</f>
        <v>0.795493762988726</v>
      </c>
      <c r="BC195" s="56" t="n">
        <f aca="false">SIN($A$10*AG195)-AX195*AY195</f>
        <v>-0.466188538871945</v>
      </c>
      <c r="BD195" s="57" t="n">
        <f aca="false">SQRT(BA195^2+BB195^2+BC195^2)</f>
        <v>0.997036782368415</v>
      </c>
      <c r="BE195" s="58" t="n">
        <f aca="false">AU195*BD195</f>
        <v>356343.614873364</v>
      </c>
    </row>
    <row r="196" customFormat="false" ht="15" hidden="false" customHeight="false" outlineLevel="0" collapsed="false">
      <c r="D196" s="41" t="n">
        <f aca="false">K196-INT(275*E196/9)+IF($A$8="common year",2,1)*INT((E196+9)/12)+30</f>
        <v>14</v>
      </c>
      <c r="E196" s="41" t="n">
        <f aca="false">IF(K196&lt;32,1,INT(9*(IF($A$8="common year",2,1)+K196)/275+0.98))</f>
        <v>7</v>
      </c>
      <c r="F196" s="42" t="n">
        <f aca="false">AM196</f>
        <v>12.9090579457733</v>
      </c>
      <c r="G196" s="60" t="n">
        <f aca="false">F196+1.02/(TAN($A$10*(F196+10.3/(F196+5.11)))*60)</f>
        <v>12.9799734045658</v>
      </c>
      <c r="H196" s="43" t="n">
        <f aca="false">100*(1+COS($A$10*AQ196))/2</f>
        <v>99.7646131405968</v>
      </c>
      <c r="I196" s="43" t="n">
        <f aca="false">IF(AI196&gt;180,AT196-180,AT196+180)</f>
        <v>188.568980266456</v>
      </c>
      <c r="J196" s="61" t="n">
        <f aca="false">$J$2+K195</f>
        <v>2459774.5</v>
      </c>
      <c r="K196" s="21" t="n">
        <v>195</v>
      </c>
      <c r="L196" s="62" t="n">
        <f aca="false">(J196-2451545)/36525</f>
        <v>0.225311430527036</v>
      </c>
      <c r="M196" s="63" t="n">
        <f aca="false">MOD(280.46061837+360.98564736629*(J196-2451545)+0.000387933*L196^2-L196^3/38710000+$B$7,360)</f>
        <v>306.84563894663</v>
      </c>
      <c r="N196" s="30" t="n">
        <f aca="false">0.606433+1336.855225*L196 - INT(0.606433+1336.855225*L196)</f>
        <v>0.81519615229297</v>
      </c>
      <c r="O196" s="35" t="n">
        <f aca="false">22640*SIN(P196)-4586*SIN(P196-2*R196)+2370*SIN(2*R196)+769*SIN(2*P196)-668*SIN(Q196)-412*SIN(2*S196)-212*SIN(2*P196-2*R196)-206*SIN(P196+Q196-2*R196)+192*SIN(P196+2*R196)-165*SIN(Q196-2*R196)-125*SIN(R196)-110*SIN(P196+Q196)+148*SIN(P196-Q196)-55*SIN(2*S196-2*R196)</f>
        <v>4707.65460999432</v>
      </c>
      <c r="P196" s="32" t="n">
        <f aca="false">2*PI()*(0.374897+1325.55241*L196 - INT(0.374897+1325.55241*L196))</f>
        <v>0.232520177768718</v>
      </c>
      <c r="Q196" s="36" t="n">
        <f aca="false">2*PI()*(0.993133+99.997361*L196 - INT(0.993133+99.997361*L196))</f>
        <v>3.29038762896667</v>
      </c>
      <c r="R196" s="36" t="n">
        <f aca="false">2*PI()*(0.827361+1236.853086*L196 - INT(0.827361+1236.853086*L196))</f>
        <v>3.16986169979118</v>
      </c>
      <c r="S196" s="36" t="n">
        <f aca="false">2*PI()*(0.259086+1342.227825*L196 - INT(0.259086+1342.227825*L196))</f>
        <v>4.26224489647712</v>
      </c>
      <c r="T196" s="36" t="n">
        <f aca="false">S196+(O196+412*SIN(2*S196)+541*SIN(Q196))/206264.8062</f>
        <v>4.28624442311544</v>
      </c>
      <c r="U196" s="36" t="n">
        <f aca="false">S196-2*R196</f>
        <v>-2.07747850310524</v>
      </c>
      <c r="V196" s="34" t="n">
        <f aca="false">-526*SIN(U196)+44*SIN(P196+U196)-31*SIN(-P196+U196)-23*SIN(Q196+U196)+11*SIN(-Q196+U196)-25*SIN(-2*P196+S196)+21*SIN(-P196+S196)</f>
        <v>426.590475095838</v>
      </c>
      <c r="W196" s="36" t="n">
        <f aca="false">2*PI()*(N196+O196/1296000-INT(N196+O196/1296000))</f>
        <v>5.14485184016516</v>
      </c>
      <c r="X196" s="35" t="n">
        <f aca="false">W196*180/PI()</f>
        <v>294.778296661579</v>
      </c>
      <c r="Y196" s="36" t="n">
        <f aca="false">(18520*SIN(T196)+V196)/206264.8062</f>
        <v>-0.0796892890554931</v>
      </c>
      <c r="Z196" s="36" t="n">
        <f aca="false">Y196*180/PI()</f>
        <v>-4.56585993527782</v>
      </c>
      <c r="AA196" s="36" t="n">
        <f aca="false">COS(Y196)*COS(W196)</f>
        <v>0.417778146410721</v>
      </c>
      <c r="AB196" s="36" t="n">
        <f aca="false">COS(Y196)*SIN(W196)</f>
        <v>-0.905054953397036</v>
      </c>
      <c r="AC196" s="36" t="n">
        <f aca="false">SIN(Y196)</f>
        <v>-0.0796049729169709</v>
      </c>
      <c r="AD196" s="36" t="n">
        <f aca="false">COS($A$10*(23.4393-46.815*L196/3600))*AB196-SIN($A$10*(23.4393-46.815*L196/3600))*AC196</f>
        <v>-0.798728722073828</v>
      </c>
      <c r="AE196" s="36" t="n">
        <f aca="false">SIN($A$10*(23.4393-46.815*L196/3600))*AB196+COS($A$10*(23.4393-46.815*L196/3600))*AC196</f>
        <v>-0.433005599173882</v>
      </c>
      <c r="AF196" s="36" t="n">
        <f aca="false">SQRT(1-AE196*AE196)</f>
        <v>0.901391230867079</v>
      </c>
      <c r="AG196" s="35" t="n">
        <f aca="false">ATAN(AE196/AF196)/$A$10</f>
        <v>-25.6584547972035</v>
      </c>
      <c r="AH196" s="36" t="n">
        <f aca="false">IF(24*ATAN(AD196/(AA196+AF196))/PI()&gt;0,24*ATAN(AD196/(AA196+AF196))/PI(),24*ATAN(AD196/(AA196+AF196))/PI()+24)</f>
        <v>19.8407993714144</v>
      </c>
      <c r="AI196" s="63" t="n">
        <f aca="false">IF(M196-15*AH196&gt;0,M196-15*AH196,360+M196-15*AH196)</f>
        <v>9.23364837541453</v>
      </c>
      <c r="AJ196" s="32" t="n">
        <f aca="false">0.950724+0.051818*COS(P196)+0.009531*COS(2*R196-P196)+0.007843*COS(2*R196)+0.002824*COS(2*P196)+0.000857*COS(2*R196+P196)+0.000533*COS(2*R196-Q196)*(1-0.002495*(J196-2415020)/36525)+0.000401*COS(2*R196-Q196-P196)*(1-0.002495*(J196-2415020)/36525)+0.00032*COS(P196-Q196)*(1-0.002495*(J196-2415020)/36525)-0.000271*COS(R196)</f>
        <v>1.02075232429079</v>
      </c>
      <c r="AK196" s="36" t="n">
        <f aca="false">ASIN(COS($A$10*$B$5)*COS($A$10*AG196)*COS($A$10*AI196)+SIN($A$10*$B$5)*SIN($A$10*AG196))/$A$10</f>
        <v>13.8979784180119</v>
      </c>
      <c r="AL196" s="32" t="n">
        <f aca="false">ASIN((0.9983271+0.0016764*COS($A$10*2*$B$5))*COS($A$10*AK196)*SIN($A$10*AJ196))/$A$10</f>
        <v>0.988920472238599</v>
      </c>
      <c r="AM196" s="32" t="n">
        <f aca="false">AK196-AL196</f>
        <v>12.9090579457733</v>
      </c>
      <c r="AN196" s="35" t="n">
        <f aca="false"> MOD(280.4664567 + 360007.6982779*L196/10 + 0.03032028*L196^2/100 + L196^3/49931000,360)</f>
        <v>111.851422066322</v>
      </c>
      <c r="AO196" s="32" t="n">
        <f aca="false"> AN196 + (1.9146 - 0.004817*L196 - 0.000014*L196^2)*SIN(Q196)+ (0.019993 - 0.000101*L196)*SIN(2*Q196)+ 0.00029*SIN(3*Q196)</f>
        <v>111.573480678141</v>
      </c>
      <c r="AP196" s="32" t="n">
        <f aca="false">ACOS(COS(W196-$A$10*AO196)*COS(Y196))/$A$10</f>
        <v>174.423606234409</v>
      </c>
      <c r="AQ196" s="34" t="n">
        <f aca="false">180 - AP196 -0.1468*(1-0.0549*SIN(Q196))*SIN($A$10*AP196)/(1-0.0167*SIN($A$10*AO196))</f>
        <v>5.56178582930291</v>
      </c>
      <c r="AR196" s="64" t="n">
        <f aca="false">SIN($A$10*AI196)</f>
        <v>0.16046088047744</v>
      </c>
      <c r="AS196" s="64" t="n">
        <f aca="false">COS($A$10*AI196)*SIN($A$10*$B$5) - TAN($A$10*AG196)*COS($A$10*$B$5)</f>
        <v>1.06489713878036</v>
      </c>
      <c r="AT196" s="24" t="n">
        <f aca="false">IF(OR(AND(AR196*AS196&gt;0), AND(AR196&lt;0,AS196&gt;0)), MOD(ATAN2(AS196,AR196)/$A$10+360,360),  ATAN2(AS196,AR196)/$A$10)</f>
        <v>8.5689802664557</v>
      </c>
      <c r="AU196" s="39" t="n">
        <f aca="false"> 385000.56 + (-20905355*COS(P196) - 3699111*COS(2*R196-P196) - 2955968*COS(2*R196) - 569925*COS(2*P196) + (1-0.002516*L196)*48888*COS(Q196) - 3149*COS(2*S196)  +246158*COS(2*R196-2*P196) -(1 - 0.002516*L196)*152138*COS(2*R196-Q196-P196) -170733*COS(2*R196+P196) -(1 - 0.002516*L196)*204586*COS(2*R196-Q196) -(1 - 0.002516*L196)*129620*COS(Q196-P196)  + 108743*COS(R196) +(1-0.002516*L196)*104755*COS(Q196+P196) +10321*COS(2*R196-2*S196) +79661*COS(P196-2*S196) -34782*COS(4*R196-P196) -23210*COS(3*P196)  -21636*COS(4*R196-2*P196) +(1 - 0.002516*L196)*24208*COS(2*R196+Q196-P196) +(1 - 0.002516*L196)*30824*COS(2*R196+Q196) -8379*COS(R196-P196) -(1 - 0.002516*L196)*16675*COS(R196+Q196)  -(1 - 0.002516*L196)*12831*COS(2*R196-Q196+P196) -10445*COS(2*R196+2*P196) -11650*COS(4*R196) +14403*COS(2*R196-3*P196) -(1-0.002516*L196)*7003*COS(Q196-2*P196)  + (1 - 0.002516*L196)*10056*COS(2*R196-Q196-2*P196) +6322*COS(R196+P196) -(1 - 0.002516*L196)*(1-0.002516*L196)*9884*COS(2*R196-2*Q196) +(1-0.002516*L196)*5751*COS(Q196+2*P196) - (1-0.002516*L196)^2*4950*COS(2*R196-2*Q196-P196)  +4130*COS(2*R196+P196-2*S196) -(1-0.002516*L196)*3958*COS(4*R196-Q196-P196) +3258*COS(3*R196-P196) +(1 - 0.002516*L196)*2616*COS(2*R196+Q196+P196) -(1 - 0.002516*L196)*1897*COS(4*R196-Q196-2*P196)  -(1-0.002516*L196)^2*2117*COS(2*Q196-P196) +(1-0.002516*L196)^2*2354*COS(2*R196+2*Q196-P196) -1423*COS(4*R196+P196) -1117*COS(4*P196) -(1-0.002516*L196)*1571*COS(4*R196-Q196)  -1739*COS(R196-2*P196) -4421*COS(2*P196-2*S196) +(1-0.002516*L196)^2*1165*COS(2*Q196+P196) +8752*COS(2*R196-P196-2*S196))/1000</f>
        <v>357639.071958157</v>
      </c>
      <c r="AV196" s="54" t="n">
        <f aca="false">ATAN(0.99664719*TAN($A$10*input!$E$2))</f>
        <v>0.871010436227447</v>
      </c>
      <c r="AW196" s="54" t="n">
        <f aca="false">COS(AV196)</f>
        <v>0.644053912545845</v>
      </c>
      <c r="AX196" s="54" t="n">
        <f aca="false">0.99664719*SIN(AV196)</f>
        <v>0.762415269897027</v>
      </c>
      <c r="AY196" s="54" t="n">
        <f aca="false">6378.14/AU196</f>
        <v>0.0178340133953435</v>
      </c>
      <c r="AZ196" s="55" t="n">
        <f aca="false">M196-15*AH196</f>
        <v>9.23364837541453</v>
      </c>
      <c r="BA196" s="56" t="n">
        <f aca="false">COS($A$10*AG196)*SIN($A$10*AZ196)</f>
        <v>0.144638030559575</v>
      </c>
      <c r="BB196" s="56" t="n">
        <f aca="false">COS($A$10*AG196)*COS($A$10*AZ196)-AW196*AY196</f>
        <v>0.87822511804539</v>
      </c>
      <c r="BC196" s="56" t="n">
        <f aca="false">SIN($A$10*AG196)-AX196*AY196</f>
        <v>-0.44660252331004</v>
      </c>
      <c r="BD196" s="57" t="n">
        <f aca="false">SQRT(BA196^2+BB196^2+BC196^2)</f>
        <v>0.995817920945835</v>
      </c>
      <c r="BE196" s="58" t="n">
        <f aca="false">AU196*BD196</f>
        <v>356143.39708637</v>
      </c>
    </row>
    <row r="197" customFormat="false" ht="15" hidden="false" customHeight="false" outlineLevel="0" collapsed="false">
      <c r="D197" s="41" t="n">
        <f aca="false">K197-INT(275*E197/9)+IF($A$8="common year",2,1)*INT((E197+9)/12)+30</f>
        <v>15</v>
      </c>
      <c r="E197" s="41" t="n">
        <f aca="false">IF(K197&lt;32,1,INT(9*(IF($A$8="common year",2,1)+K197)/275+0.98))</f>
        <v>7</v>
      </c>
      <c r="F197" s="42" t="n">
        <f aca="false">AM197</f>
        <v>16.2912702332856</v>
      </c>
      <c r="G197" s="60" t="n">
        <f aca="false">F197+1.02/(TAN($A$10*(F197+10.3/(F197+5.11)))*60)</f>
        <v>16.347674598386</v>
      </c>
      <c r="H197" s="43" t="n">
        <f aca="false">100*(1+COS($A$10*AQ197))/2</f>
        <v>97.5409904199694</v>
      </c>
      <c r="I197" s="43" t="n">
        <f aca="false">IF(AI197&gt;180,AT197-180,AT197+180)</f>
        <v>174.200511786541</v>
      </c>
      <c r="J197" s="61" t="n">
        <f aca="false">$J$2+K196</f>
        <v>2459775.5</v>
      </c>
      <c r="K197" s="21" t="n">
        <v>196</v>
      </c>
      <c r="L197" s="62" t="n">
        <f aca="false">(J197-2451545)/36525</f>
        <v>0.225338809034908</v>
      </c>
      <c r="M197" s="63" t="n">
        <f aca="false">MOD(280.46061837+360.98564736629*(J197-2451545)+0.000387933*L197^2-L197^3/38710000+$B$7,360)</f>
        <v>307.831286317669</v>
      </c>
      <c r="N197" s="30" t="n">
        <f aca="false">0.606433+1336.855225*L197 - INT(0.606433+1336.855225*L197)</f>
        <v>0.851797253593418</v>
      </c>
      <c r="O197" s="35" t="n">
        <f aca="false">22640*SIN(P197)-4586*SIN(P197-2*R197)+2370*SIN(2*R197)+769*SIN(2*P197)-668*SIN(Q197)-412*SIN(2*S197)-212*SIN(2*P197-2*R197)-206*SIN(P197+Q197-2*R197)+192*SIN(P197+2*R197)-165*SIN(Q197-2*R197)-125*SIN(R197)-110*SIN(P197+Q197)+148*SIN(P197-Q197)-55*SIN(2*S197-2*R197)</f>
        <v>11858.5622629122</v>
      </c>
      <c r="P197" s="32" t="n">
        <f aca="false">2*PI()*(0.374897+1325.55241*L197 - INT(0.374897+1325.55241*L197))</f>
        <v>0.460547321544536</v>
      </c>
      <c r="Q197" s="36" t="n">
        <f aca="false">2*PI()*(0.993133+99.997361*L197 - INT(0.993133+99.997361*L197))</f>
        <v>3.30758959883366</v>
      </c>
      <c r="R197" s="36" t="n">
        <f aca="false">2*PI()*(0.827361+1236.853086*L197 - INT(0.827361+1236.853086*L197))</f>
        <v>3.3826304099102</v>
      </c>
      <c r="S197" s="36" t="n">
        <f aca="false">2*PI()*(0.259086+1342.227825*L197 - INT(0.259086+1342.227825*L197))</f>
        <v>4.49314061581812</v>
      </c>
      <c r="T197" s="36" t="n">
        <f aca="false">S197+(O197+412*SIN(2*S197)+541*SIN(Q197))/206264.8062</f>
        <v>4.55104722868025</v>
      </c>
      <c r="U197" s="36" t="n">
        <f aca="false">S197-2*R197</f>
        <v>-2.27212020400229</v>
      </c>
      <c r="V197" s="34" t="n">
        <f aca="false">-526*SIN(U197)+44*SIN(P197+U197)-31*SIN(-P197+U197)-23*SIN(Q197+U197)+11*SIN(-Q197+U197)-25*SIN(-2*P197+S197)+21*SIN(-P197+S197)</f>
        <v>352.887211558359</v>
      </c>
      <c r="W197" s="36" t="n">
        <f aca="false">2*PI()*(N197+O197/1296000-INT(N197+O197/1296000))</f>
        <v>5.40949192070758</v>
      </c>
      <c r="X197" s="35" t="n">
        <f aca="false">W197*180/PI()</f>
        <v>309.941056366662</v>
      </c>
      <c r="Y197" s="36" t="n">
        <f aca="false">(18520*SIN(T197)+V197)/206264.8062</f>
        <v>-0.086910544816546</v>
      </c>
      <c r="Z197" s="36" t="n">
        <f aca="false">Y197*180/PI()</f>
        <v>-4.97960741317068</v>
      </c>
      <c r="AA197" s="36" t="n">
        <f aca="false">COS(Y197)*COS(W197)</f>
        <v>0.639576067162962</v>
      </c>
      <c r="AB197" s="36" t="n">
        <f aca="false">COS(Y197)*SIN(W197)</f>
        <v>-0.763811501965467</v>
      </c>
      <c r="AC197" s="36" t="n">
        <f aca="false">SIN(Y197)</f>
        <v>-0.0868011738262587</v>
      </c>
      <c r="AD197" s="36" t="n">
        <f aca="false">COS($A$10*(23.4393-46.815*L197/3600))*AB197-SIN($A$10*(23.4393-46.815*L197/3600))*AC197</f>
        <v>-0.666275379444945</v>
      </c>
      <c r="AE197" s="36" t="n">
        <f aca="false">SIN($A$10*(23.4393-46.815*L197/3600))*AB197+COS($A$10*(23.4393-46.815*L197/3600))*AC197</f>
        <v>-0.383431314654728</v>
      </c>
      <c r="AF197" s="36" t="n">
        <f aca="false">SQRT(1-AE197*AE197)</f>
        <v>0.923569394762596</v>
      </c>
      <c r="AG197" s="35" t="n">
        <f aca="false">ATAN(AE197/AF197)/$A$10</f>
        <v>-22.5463888292612</v>
      </c>
      <c r="AH197" s="36" t="n">
        <f aca="false">IF(24*ATAN(AD197/(AA197+AF197))/PI()&gt;0,24*ATAN(AD197/(AA197+AF197))/PI(),24*ATAN(AD197/(AA197+AF197))/PI()+24)</f>
        <v>20.9219132823013</v>
      </c>
      <c r="AI197" s="63" t="n">
        <f aca="false">IF(M197-15*AH197&gt;0,M197-15*AH197,360+M197-15*AH197)</f>
        <v>354.002587083149</v>
      </c>
      <c r="AJ197" s="32" t="n">
        <f aca="false">0.950724+0.051818*COS(P197)+0.009531*COS(2*R197-P197)+0.007843*COS(2*R197)+0.002824*COS(2*P197)+0.000857*COS(2*R197+P197)+0.000533*COS(2*R197-Q197)*(1-0.002495*(J197-2415020)/36525)+0.000401*COS(2*R197-Q197-P197)*(1-0.002495*(J197-2415020)/36525)+0.00032*COS(P197-Q197)*(1-0.002495*(J197-2415020)/36525)-0.000271*COS(R197)</f>
        <v>1.01489024485343</v>
      </c>
      <c r="AK197" s="36" t="n">
        <f aca="false">ASIN(COS($A$10*$B$5)*COS($A$10*AG197)*COS($A$10*AI197)+SIN($A$10*$B$5)*SIN($A$10*AG197))/$A$10</f>
        <v>17.2585575600476</v>
      </c>
      <c r="AL197" s="32" t="n">
        <f aca="false">ASIN((0.9983271+0.0016764*COS($A$10*2*$B$5))*COS($A$10*AK197)*SIN($A$10*AJ197))/$A$10</f>
        <v>0.967287326761966</v>
      </c>
      <c r="AM197" s="32" t="n">
        <f aca="false">AK197-AL197</f>
        <v>16.2912702332856</v>
      </c>
      <c r="AN197" s="35" t="n">
        <f aca="false"> MOD(280.4664567 + 360007.6982779*L197/10 + 0.03032028*L197^2/100 + L197^3/49931000,360)</f>
        <v>112.837069430168</v>
      </c>
      <c r="AO197" s="32" t="n">
        <f aca="false"> AN197 + (1.9146 - 0.004817*L197 - 0.000014*L197^2)*SIN(Q197)+ (0.019993 - 0.000101*L197)*SIN(2*Q197)+ 0.00029*SIN(3*Q197)</f>
        <v>112.52725907271</v>
      </c>
      <c r="AP197" s="32" t="n">
        <f aca="false">ACOS(COS(W197-$A$10*AO197)*COS(Y197))/$A$10</f>
        <v>161.909444397063</v>
      </c>
      <c r="AQ197" s="34" t="n">
        <f aca="false">180 - AP197 -0.1468*(1-0.0549*SIN(Q197))*SIN($A$10*AP197)/(1-0.0167*SIN($A$10*AO197))</f>
        <v>18.0438371216336</v>
      </c>
      <c r="AR197" s="64" t="n">
        <f aca="false">SIN($A$10*AI197)</f>
        <v>-0.104483557395651</v>
      </c>
      <c r="AS197" s="64" t="n">
        <f aca="false">COS($A$10*AI197)*SIN($A$10*$B$5) - TAN($A$10*AG197)*COS($A$10*$B$5)</f>
        <v>1.0287128526219</v>
      </c>
      <c r="AT197" s="24" t="n">
        <f aca="false">IF(OR(AND(AR197*AS197&gt;0), AND(AR197&lt;0,AS197&gt;0)), MOD(ATAN2(AS197,AR197)/$A$10+360,360),  ATAN2(AS197,AR197)/$A$10)</f>
        <v>354.200511786541</v>
      </c>
      <c r="AU197" s="39" t="n">
        <f aca="false"> 385000.56 + (-20905355*COS(P197) - 3699111*COS(2*R197-P197) - 2955968*COS(2*R197) - 569925*COS(2*P197) + (1-0.002516*L197)*48888*COS(Q197) - 3149*COS(2*S197)  +246158*COS(2*R197-2*P197) -(1 - 0.002516*L197)*152138*COS(2*R197-Q197-P197) -170733*COS(2*R197+P197) -(1 - 0.002516*L197)*204586*COS(2*R197-Q197) -(1 - 0.002516*L197)*129620*COS(Q197-P197)  + 108743*COS(R197) +(1-0.002516*L197)*104755*COS(Q197+P197) +10321*COS(2*R197-2*S197) +79661*COS(P197-2*S197) -34782*COS(4*R197-P197) -23210*COS(3*P197)  -21636*COS(4*R197-2*P197) +(1 - 0.002516*L197)*24208*COS(2*R197+Q197-P197) +(1 - 0.002516*L197)*30824*COS(2*R197+Q197) -8379*COS(R197-P197) -(1 - 0.002516*L197)*16675*COS(R197+Q197)  -(1 - 0.002516*L197)*12831*COS(2*R197-Q197+P197) -10445*COS(2*R197+2*P197) -11650*COS(4*R197) +14403*COS(2*R197-3*P197) -(1-0.002516*L197)*7003*COS(Q197-2*P197)  + (1 - 0.002516*L197)*10056*COS(2*R197-Q197-2*P197) +6322*COS(R197+P197) -(1 - 0.002516*L197)*(1-0.002516*L197)*9884*COS(2*R197-2*Q197) +(1-0.002516*L197)*5751*COS(Q197+2*P197) - (1-0.002516*L197)^2*4950*COS(2*R197-2*Q197-P197)  +4130*COS(2*R197+P197-2*S197) -(1-0.002516*L197)*3958*COS(4*R197-Q197-P197) +3258*COS(3*R197-P197) +(1 - 0.002516*L197)*2616*COS(2*R197+Q197+P197) -(1 - 0.002516*L197)*1897*COS(4*R197-Q197-2*P197)  -(1-0.002516*L197)^2*2117*COS(2*Q197-P197) +(1-0.002516*L197)^2*2354*COS(2*R197+2*Q197-P197) -1423*COS(4*R197+P197) -1117*COS(4*P197) -(1-0.002516*L197)*1571*COS(4*R197-Q197)  -1739*COS(R197-2*P197) -4421*COS(2*P197-2*S197) +(1-0.002516*L197)^2*1165*COS(2*Q197+P197) +8752*COS(2*R197-P197-2*S197))/1000</f>
        <v>359780.664376572</v>
      </c>
      <c r="AV197" s="54" t="n">
        <f aca="false">ATAN(0.99664719*TAN($A$10*input!$E$2))</f>
        <v>0.871010436227447</v>
      </c>
      <c r="AW197" s="54" t="n">
        <f aca="false">COS(AV197)</f>
        <v>0.644053912545845</v>
      </c>
      <c r="AX197" s="54" t="n">
        <f aca="false">0.99664719*SIN(AV197)</f>
        <v>0.762415269897027</v>
      </c>
      <c r="AY197" s="54" t="n">
        <f aca="false">6378.14/AU197</f>
        <v>0.0177278565290662</v>
      </c>
      <c r="AZ197" s="55" t="n">
        <f aca="false">M197-15*AH197</f>
        <v>-5.99741291685115</v>
      </c>
      <c r="BA197" s="56" t="n">
        <f aca="false">COS($A$10*AG197)*SIN($A$10*AZ197)</f>
        <v>-0.0964978158665453</v>
      </c>
      <c r="BB197" s="56" t="n">
        <f aca="false">COS($A$10*AG197)*COS($A$10*AZ197)-AW197*AY197</f>
        <v>0.907096647738523</v>
      </c>
      <c r="BC197" s="56" t="n">
        <f aca="false">SIN($A$10*AG197)-AX197*AY197</f>
        <v>-0.396947303175032</v>
      </c>
      <c r="BD197" s="57" t="n">
        <f aca="false">SQRT(BA197^2+BB197^2+BC197^2)</f>
        <v>0.994838337773234</v>
      </c>
      <c r="BE197" s="58" t="n">
        <f aca="false">AU197*BD197</f>
        <v>357923.598111339</v>
      </c>
    </row>
    <row r="198" customFormat="false" ht="15" hidden="false" customHeight="false" outlineLevel="0" collapsed="false">
      <c r="D198" s="41" t="n">
        <f aca="false">K198-INT(275*E198/9)+IF($A$8="common year",2,1)*INT((E198+9)/12)+30</f>
        <v>16</v>
      </c>
      <c r="E198" s="41" t="n">
        <f aca="false">IF(K198&lt;32,1,INT(9*(IF($A$8="common year",2,1)+K198)/275+0.98))</f>
        <v>7</v>
      </c>
      <c r="F198" s="42" t="n">
        <f aca="false">AM198</f>
        <v>18.7894632739774</v>
      </c>
      <c r="G198" s="60" t="n">
        <f aca="false">F198+1.02/(TAN($A$10*(F198+10.3/(F198+5.11)))*60)</f>
        <v>18.838224619763</v>
      </c>
      <c r="H198" s="43" t="n">
        <f aca="false">100*(1+COS($A$10*AQ198))/2</f>
        <v>92.5569030286636</v>
      </c>
      <c r="I198" s="43" t="n">
        <f aca="false">IF(AI198&gt;180,AT198-180,AT198+180)</f>
        <v>159.67761579015</v>
      </c>
      <c r="J198" s="61" t="n">
        <f aca="false">$J$2+K197</f>
        <v>2459776.5</v>
      </c>
      <c r="K198" s="21" t="n">
        <v>197</v>
      </c>
      <c r="L198" s="62" t="n">
        <f aca="false">(J198-2451545)/36525</f>
        <v>0.225366187542779</v>
      </c>
      <c r="M198" s="63" t="n">
        <f aca="false">MOD(280.46061837+360.98564736629*(J198-2451545)+0.000387933*L198^2-L198^3/38710000+$B$7,360)</f>
        <v>308.816933688708</v>
      </c>
      <c r="N198" s="30" t="n">
        <f aca="false">0.606433+1336.855225*L198 - INT(0.606433+1336.855225*L198)</f>
        <v>0.888398354893923</v>
      </c>
      <c r="O198" s="35" t="n">
        <f aca="false">22640*SIN(P198)-4586*SIN(P198-2*R198)+2370*SIN(2*R198)+769*SIN(2*P198)-668*SIN(Q198)-412*SIN(2*S198)-212*SIN(2*P198-2*R198)-206*SIN(P198+Q198-2*R198)+192*SIN(P198+2*R198)-165*SIN(Q198-2*R198)-125*SIN(R198)-110*SIN(P198+Q198)+148*SIN(P198-Q198)-55*SIN(2*S198-2*R198)</f>
        <v>18140.4505726522</v>
      </c>
      <c r="P198" s="32" t="n">
        <f aca="false">2*PI()*(0.374897+1325.55241*L198 - INT(0.374897+1325.55241*L198))</f>
        <v>0.688574465319996</v>
      </c>
      <c r="Q198" s="36" t="n">
        <f aca="false">2*PI()*(0.993133+99.997361*L198 - INT(0.993133+99.997361*L198))</f>
        <v>3.32479156870067</v>
      </c>
      <c r="R198" s="36" t="n">
        <f aca="false">2*PI()*(0.827361+1236.853086*L198 - INT(0.827361+1236.853086*L198))</f>
        <v>3.59539912002923</v>
      </c>
      <c r="S198" s="36" t="n">
        <f aca="false">2*PI()*(0.259086+1342.227825*L198 - INT(0.259086+1342.227825*L198))</f>
        <v>4.72403633515877</v>
      </c>
      <c r="T198" s="36" t="n">
        <f aca="false">S198+(O198+412*SIN(2*S198)+541*SIN(Q198))/206264.8062</f>
        <v>4.81145937740714</v>
      </c>
      <c r="U198" s="36" t="n">
        <f aca="false">S198-2*R198</f>
        <v>-2.46676190489969</v>
      </c>
      <c r="V198" s="34" t="n">
        <f aca="false">-526*SIN(U198)+44*SIN(P198+U198)-31*SIN(-P198+U198)-23*SIN(Q198+U198)+11*SIN(-Q198+U198)-25*SIN(-2*P198+S198)+21*SIN(-P198+S198)</f>
        <v>261.662100252376</v>
      </c>
      <c r="W198" s="36" t="n">
        <f aca="false">2*PI()*(N198+O198/1296000-INT(N198+O198/1296000))</f>
        <v>5.66991887658314</v>
      </c>
      <c r="X198" s="35" t="n">
        <f aca="false">W198*180/PI()</f>
        <v>324.862421809771</v>
      </c>
      <c r="Y198" s="36" t="n">
        <f aca="false">(18520*SIN(T198)+V198)/206264.8062</f>
        <v>-0.0880786507876107</v>
      </c>
      <c r="Z198" s="36" t="n">
        <f aca="false">Y198*180/PI()</f>
        <v>-5.04653495533672</v>
      </c>
      <c r="AA198" s="36" t="n">
        <f aca="false">COS(Y198)*COS(W198)</f>
        <v>0.814602389559774</v>
      </c>
      <c r="AB198" s="36" t="n">
        <f aca="false">COS(Y198)*SIN(W198)</f>
        <v>-0.573310682671214</v>
      </c>
      <c r="AC198" s="36" t="n">
        <f aca="false">SIN(Y198)</f>
        <v>-0.0879648114792115</v>
      </c>
      <c r="AD198" s="36" t="n">
        <f aca="false">COS($A$10*(23.4393-46.815*L198/3600))*AB198-SIN($A$10*(23.4393-46.815*L198/3600))*AC198</f>
        <v>-0.491027619252737</v>
      </c>
      <c r="AE198" s="36" t="n">
        <f aca="false">SIN($A$10*(23.4393-46.815*L198/3600))*AB198+COS($A$10*(23.4393-46.815*L198/3600))*AC198</f>
        <v>-0.308730989786409</v>
      </c>
      <c r="AF198" s="36" t="n">
        <f aca="false">SQRT(1-AE198*AE198)</f>
        <v>0.951149397279683</v>
      </c>
      <c r="AG198" s="35" t="n">
        <f aca="false">ATAN(AE198/AF198)/$A$10</f>
        <v>-17.9827706815501</v>
      </c>
      <c r="AH198" s="36" t="n">
        <f aca="false">IF(24*ATAN(AD198/(AA198+AF198))/PI()&gt;0,24*ATAN(AD198/(AA198+AF198))/PI(),24*ATAN(AD198/(AA198+AF198))/PI()+24)</f>
        <v>21.9279457139749</v>
      </c>
      <c r="AI198" s="63" t="n">
        <f aca="false">IF(M198-15*AH198&gt;0,M198-15*AH198,360+M198-15*AH198)</f>
        <v>339.897747979084</v>
      </c>
      <c r="AJ198" s="32" t="n">
        <f aca="false">0.950724+0.051818*COS(P198)+0.009531*COS(2*R198-P198)+0.007843*COS(2*R198)+0.002824*COS(2*P198)+0.000857*COS(2*R198+P198)+0.000533*COS(2*R198-Q198)*(1-0.002495*(J198-2415020)/36525)+0.000401*COS(2*R198-Q198-P198)*(1-0.002495*(J198-2415020)/36525)+0.00032*COS(P198-Q198)*(1-0.002495*(J198-2415020)/36525)-0.000271*COS(R198)</f>
        <v>1.00455572054495</v>
      </c>
      <c r="AK198" s="36" t="n">
        <f aca="false">ASIN(COS($A$10*$B$5)*COS($A$10*AG198)*COS($A$10*AI198)+SIN($A$10*$B$5)*SIN($A$10*AG198))/$A$10</f>
        <v>19.733163959824</v>
      </c>
      <c r="AL198" s="32" t="n">
        <f aca="false">ASIN((0.9983271+0.0016764*COS($A$10*2*$B$5))*COS($A$10*AK198)*SIN($A$10*AJ198))/$A$10</f>
        <v>0.943700685846573</v>
      </c>
      <c r="AM198" s="32" t="n">
        <f aca="false">AK198-AL198</f>
        <v>18.7894632739774</v>
      </c>
      <c r="AN198" s="35" t="n">
        <f aca="false"> MOD(280.4664567 + 360007.6982779*L198/10 + 0.03032028*L198^2/100 + L198^3/49931000,360)</f>
        <v>113.822716794013</v>
      </c>
      <c r="AO198" s="32" t="n">
        <f aca="false"> AN198 + (1.9146 - 0.004817*L198 - 0.000014*L198^2)*SIN(Q198)+ (0.019993 - 0.000101*L198)*SIN(2*Q198)+ 0.00029*SIN(3*Q198)</f>
        <v>113.481123695079</v>
      </c>
      <c r="AP198" s="32" t="n">
        <f aca="false">ACOS(COS(W198-$A$10*AO198)*COS(Y198))/$A$10</f>
        <v>148.256447674273</v>
      </c>
      <c r="AQ198" s="34" t="n">
        <f aca="false">180 - AP198 -0.1468*(1-0.0549*SIN(Q198))*SIN($A$10*AP198)/(1-0.0167*SIN($A$10*AO198))</f>
        <v>31.6643322950769</v>
      </c>
      <c r="AR198" s="64" t="n">
        <f aca="false">SIN($A$10*AI198)</f>
        <v>-0.343696605588584</v>
      </c>
      <c r="AS198" s="64" t="n">
        <f aca="false">COS($A$10*AI198)*SIN($A$10*$B$5) - TAN($A$10*AG198)*COS($A$10*$B$5)</f>
        <v>0.928018263224529</v>
      </c>
      <c r="AT198" s="24" t="n">
        <f aca="false">IF(OR(AND(AR198*AS198&gt;0), AND(AR198&lt;0,AS198&gt;0)), MOD(ATAN2(AS198,AR198)/$A$10+360,360),  ATAN2(AS198,AR198)/$A$10)</f>
        <v>339.67761579015</v>
      </c>
      <c r="AU198" s="39" t="n">
        <f aca="false"> 385000.56 + (-20905355*COS(P198) - 3699111*COS(2*R198-P198) - 2955968*COS(2*R198) - 569925*COS(2*P198) + (1-0.002516*L198)*48888*COS(Q198) - 3149*COS(2*S198)  +246158*COS(2*R198-2*P198) -(1 - 0.002516*L198)*152138*COS(2*R198-Q198-P198) -170733*COS(2*R198+P198) -(1 - 0.002516*L198)*204586*COS(2*R198-Q198) -(1 - 0.002516*L198)*129620*COS(Q198-P198)  + 108743*COS(R198) +(1-0.002516*L198)*104755*COS(Q198+P198) +10321*COS(2*R198-2*S198) +79661*COS(P198-2*S198) -34782*COS(4*R198-P198) -23210*COS(3*P198)  -21636*COS(4*R198-2*P198) +(1 - 0.002516*L198)*24208*COS(2*R198+Q198-P198) +(1 - 0.002516*L198)*30824*COS(2*R198+Q198) -8379*COS(R198-P198) -(1 - 0.002516*L198)*16675*COS(R198+Q198)  -(1 - 0.002516*L198)*12831*COS(2*R198-Q198+P198) -10445*COS(2*R198+2*P198) -11650*COS(4*R198) +14403*COS(2*R198-3*P198) -(1-0.002516*L198)*7003*COS(Q198-2*P198)  + (1 - 0.002516*L198)*10056*COS(2*R198-Q198-2*P198) +6322*COS(R198+P198) -(1 - 0.002516*L198)*(1-0.002516*L198)*9884*COS(2*R198-2*Q198) +(1-0.002516*L198)*5751*COS(Q198+2*P198) - (1-0.002516*L198)^2*4950*COS(2*R198-2*Q198-P198)  +4130*COS(2*R198+P198-2*S198) -(1-0.002516*L198)*3958*COS(4*R198-Q198-P198) +3258*COS(3*R198-P198) +(1 - 0.002516*L198)*2616*COS(2*R198+Q198+P198) -(1 - 0.002516*L198)*1897*COS(4*R198-Q198-2*P198)  -(1-0.002516*L198)^2*2117*COS(2*Q198-P198) +(1-0.002516*L198)^2*2354*COS(2*R198+2*Q198-P198) -1423*COS(4*R198+P198) -1117*COS(4*P198) -(1-0.002516*L198)*1571*COS(4*R198-Q198)  -1739*COS(R198-2*P198) -4421*COS(2*P198-2*S198) +(1-0.002516*L198)^2*1165*COS(2*Q198+P198) +8752*COS(2*R198-P198-2*S198))/1000</f>
        <v>363610.259844282</v>
      </c>
      <c r="AV198" s="54" t="n">
        <f aca="false">ATAN(0.99664719*TAN($A$10*input!$E$2))</f>
        <v>0.871010436227447</v>
      </c>
      <c r="AW198" s="54" t="n">
        <f aca="false">COS(AV198)</f>
        <v>0.644053912545845</v>
      </c>
      <c r="AX198" s="54" t="n">
        <f aca="false">0.99664719*SIN(AV198)</f>
        <v>0.762415269897027</v>
      </c>
      <c r="AY198" s="54" t="n">
        <f aca="false">6378.14/AU198</f>
        <v>0.0175411441985478</v>
      </c>
      <c r="AZ198" s="55" t="n">
        <f aca="false">M198-15*AH198</f>
        <v>-20.1022520209161</v>
      </c>
      <c r="BA198" s="56" t="n">
        <f aca="false">COS($A$10*AG198)*SIN($A$10*AZ198)</f>
        <v>-0.326906819252655</v>
      </c>
      <c r="BB198" s="56" t="n">
        <f aca="false">COS($A$10*AG198)*COS($A$10*AZ198)-AW198*AY198</f>
        <v>0.881908640875739</v>
      </c>
      <c r="BC198" s="56" t="n">
        <f aca="false">SIN($A$10*AG198)-AX198*AY198</f>
        <v>-0.322104625974848</v>
      </c>
      <c r="BD198" s="57" t="n">
        <f aca="false">SQRT(BA198^2+BB198^2+BC198^2)</f>
        <v>0.99417418463747</v>
      </c>
      <c r="BE198" s="58" t="n">
        <f aca="false">AU198*BD198</f>
        <v>361491.933606508</v>
      </c>
    </row>
    <row r="199" customFormat="false" ht="15" hidden="false" customHeight="false" outlineLevel="0" collapsed="false">
      <c r="D199" s="41" t="n">
        <f aca="false">K199-INT(275*E199/9)+IF($A$8="common year",2,1)*INT((E199+9)/12)+30</f>
        <v>17</v>
      </c>
      <c r="E199" s="41" t="n">
        <f aca="false">IF(K199&lt;32,1,INT(9*(IF($A$8="common year",2,1)+K199)/275+0.98))</f>
        <v>7</v>
      </c>
      <c r="F199" s="42" t="n">
        <f aca="false">AM199</f>
        <v>20.2315584221142</v>
      </c>
      <c r="G199" s="60" t="n">
        <f aca="false">F199+1.02/(TAN($A$10*(F199+10.3/(F199+5.11)))*60)</f>
        <v>20.2766952582473</v>
      </c>
      <c r="H199" s="43" t="n">
        <f aca="false">100*(1+COS($A$10*AQ199))/2</f>
        <v>85.3124272220597</v>
      </c>
      <c r="I199" s="43" t="n">
        <f aca="false">IF(AI199&gt;180,AT199-180,AT199+180)</f>
        <v>145.211496802765</v>
      </c>
      <c r="J199" s="61" t="n">
        <f aca="false">$J$2+K198</f>
        <v>2459777.5</v>
      </c>
      <c r="K199" s="21" t="n">
        <v>198</v>
      </c>
      <c r="L199" s="62" t="n">
        <f aca="false">(J199-2451545)/36525</f>
        <v>0.22539356605065</v>
      </c>
      <c r="M199" s="63" t="n">
        <f aca="false">MOD(280.46061837+360.98564736629*(J199-2451545)+0.000387933*L199^2-L199^3/38710000+$B$7,360)</f>
        <v>309.802581059746</v>
      </c>
      <c r="N199" s="30" t="n">
        <f aca="false">0.606433+1336.855225*L199 - INT(0.606433+1336.855225*L199)</f>
        <v>0.924999456194371</v>
      </c>
      <c r="O199" s="35" t="n">
        <f aca="false">22640*SIN(P199)-4586*SIN(P199-2*R199)+2370*SIN(2*R199)+769*SIN(2*P199)-668*SIN(Q199)-412*SIN(2*S199)-212*SIN(2*P199-2*R199)-206*SIN(P199+Q199-2*R199)+192*SIN(P199+2*R199)-165*SIN(Q199-2*R199)-125*SIN(R199)-110*SIN(P199+Q199)+148*SIN(P199-Q199)-55*SIN(2*S199-2*R199)</f>
        <v>23084.2901142865</v>
      </c>
      <c r="P199" s="32" t="n">
        <f aca="false">2*PI()*(0.374897+1325.55241*L199 - INT(0.374897+1325.55241*L199))</f>
        <v>0.916601609095814</v>
      </c>
      <c r="Q199" s="36" t="n">
        <f aca="false">2*PI()*(0.993133+99.997361*L199 - INT(0.993133+99.997361*L199))</f>
        <v>3.34199353856765</v>
      </c>
      <c r="R199" s="36" t="n">
        <f aca="false">2*PI()*(0.827361+1236.853086*L199 - INT(0.827361+1236.853086*L199))</f>
        <v>3.80816783014825</v>
      </c>
      <c r="S199" s="36" t="n">
        <f aca="false">2*PI()*(0.259086+1342.227825*L199 - INT(0.259086+1342.227825*L199))</f>
        <v>4.95493205449977</v>
      </c>
      <c r="T199" s="36" t="n">
        <f aca="false">S199+(O199+412*SIN(2*S199)+541*SIN(Q199))/206264.8062</f>
        <v>5.06539437056754</v>
      </c>
      <c r="U199" s="36" t="n">
        <f aca="false">S199-2*R199</f>
        <v>-2.66140360579673</v>
      </c>
      <c r="V199" s="34" t="n">
        <f aca="false">-526*SIN(U199)+44*SIN(P199+U199)-31*SIN(-P199+U199)-23*SIN(Q199+U199)+11*SIN(-Q199+U199)-25*SIN(-2*P199+S199)+21*SIN(-P199+S199)</f>
        <v>158.206188631509</v>
      </c>
      <c r="W199" s="36" t="n">
        <f aca="false">2*PI()*(N199+O199/1296000-INT(N199+O199/1296000))</f>
        <v>5.92385878897066</v>
      </c>
      <c r="X199" s="35" t="n">
        <f aca="false">W199*180/PI()</f>
        <v>339.412107039498</v>
      </c>
      <c r="Y199" s="36" t="n">
        <f aca="false">(18520*SIN(T199)+V199)/206264.8062</f>
        <v>-0.0834840058179214</v>
      </c>
      <c r="Z199" s="36" t="n">
        <f aca="false">Y199*180/PI()</f>
        <v>-4.78328119021251</v>
      </c>
      <c r="AA199" s="36" t="n">
        <f aca="false">COS(Y199)*COS(W199)</f>
        <v>0.932873526389511</v>
      </c>
      <c r="AB199" s="36" t="n">
        <f aca="false">COS(Y199)*SIN(W199)</f>
        <v>-0.350419150694314</v>
      </c>
      <c r="AC199" s="36" t="n">
        <f aca="false">SIN(Y199)</f>
        <v>-0.0833870648738399</v>
      </c>
      <c r="AD199" s="36" t="n">
        <f aca="false">COS($A$10*(23.4393-46.815*L199/3600))*AB199-SIN($A$10*(23.4393-46.815*L199/3600))*AC199</f>
        <v>-0.288344826032293</v>
      </c>
      <c r="AE199" s="36" t="n">
        <f aca="false">SIN($A$10*(23.4393-46.815*L199/3600))*AB199+COS($A$10*(23.4393-46.815*L199/3600))*AC199</f>
        <v>-0.215880163660317</v>
      </c>
      <c r="AF199" s="36" t="n">
        <f aca="false">SQRT(1-AE199*AE199)</f>
        <v>0.976419866111907</v>
      </c>
      <c r="AG199" s="35" t="n">
        <f aca="false">ATAN(AE199/AF199)/$A$10</f>
        <v>-12.4671696847176</v>
      </c>
      <c r="AH199" s="36" t="n">
        <f aca="false">IF(24*ATAN(AD199/(AA199+AF199))/PI()&gt;0,24*ATAN(AD199/(AA199+AF199))/PI(),24*ATAN(AD199/(AA199+AF199))/PI()+24)</f>
        <v>22.8549319113449</v>
      </c>
      <c r="AI199" s="63" t="n">
        <f aca="false">IF(M199-15*AH199&gt;0,M199-15*AH199,360+M199-15*AH199)</f>
        <v>326.978602389573</v>
      </c>
      <c r="AJ199" s="32" t="n">
        <f aca="false">0.950724+0.051818*COS(P199)+0.009531*COS(2*R199-P199)+0.007843*COS(2*R199)+0.002824*COS(2*P199)+0.000857*COS(2*R199+P199)+0.000533*COS(2*R199-Q199)*(1-0.002495*(J199-2415020)/36525)+0.000401*COS(2*R199-Q199-P199)*(1-0.002495*(J199-2415020)/36525)+0.00032*COS(P199-Q199)*(1-0.002495*(J199-2415020)/36525)-0.000271*COS(R199)</f>
        <v>0.990904431632968</v>
      </c>
      <c r="AK199" s="36" t="n">
        <f aca="false">ASIN(COS($A$10*$B$5)*COS($A$10*AG199)*COS($A$10*AI199)+SIN($A$10*$B$5)*SIN($A$10*AG199))/$A$10</f>
        <v>21.1538692726865</v>
      </c>
      <c r="AL199" s="32" t="n">
        <f aca="false">ASIN((0.9983271+0.0016764*COS($A$10*2*$B$5))*COS($A$10*AK199)*SIN($A$10*AJ199))/$A$10</f>
        <v>0.922310850572358</v>
      </c>
      <c r="AM199" s="32" t="n">
        <f aca="false">AK199-AL199</f>
        <v>20.2315584221142</v>
      </c>
      <c r="AN199" s="35" t="n">
        <f aca="false"> MOD(280.4664567 + 360007.6982779*L199/10 + 0.03032028*L199^2/100 + L199^3/49931000,360)</f>
        <v>114.80836415786</v>
      </c>
      <c r="AO199" s="32" t="n">
        <f aca="false"> AN199 + (1.9146 - 0.004817*L199 - 0.000014*L199^2)*SIN(Q199)+ (0.019993 - 0.000101*L199)*SIN(2*Q199)+ 0.00029*SIN(3*Q199)</f>
        <v>114.435083407428</v>
      </c>
      <c r="AP199" s="32" t="n">
        <f aca="false">ACOS(COS(W199-$A$10*AO199)*COS(Y199))/$A$10</f>
        <v>134.823615176353</v>
      </c>
      <c r="AQ199" s="34" t="n">
        <f aca="false">180 - AP199 -0.1468*(1-0.0549*SIN(Q199))*SIN($A$10*AP199)/(1-0.0167*SIN($A$10*AO199))</f>
        <v>45.0694994748493</v>
      </c>
      <c r="AR199" s="64" t="n">
        <f aca="false">SIN($A$10*AI199)</f>
        <v>-0.544952205892282</v>
      </c>
      <c r="AS199" s="64" t="n">
        <f aca="false">COS($A$10*AI199)*SIN($A$10*$B$5) - TAN($A$10*AG199)*COS($A$10*$B$5)</f>
        <v>0.784419283503842</v>
      </c>
      <c r="AT199" s="24" t="n">
        <f aca="false">IF(OR(AND(AR199*AS199&gt;0), AND(AR199&lt;0,AS199&gt;0)), MOD(ATAN2(AS199,AR199)/$A$10+360,360),  ATAN2(AS199,AR199)/$A$10)</f>
        <v>325.211496802765</v>
      </c>
      <c r="AU199" s="39" t="n">
        <f aca="false"> 385000.56 + (-20905355*COS(P199) - 3699111*COS(2*R199-P199) - 2955968*COS(2*R199) - 569925*COS(2*P199) + (1-0.002516*L199)*48888*COS(Q199) - 3149*COS(2*S199)  +246158*COS(2*R199-2*P199) -(1 - 0.002516*L199)*152138*COS(2*R199-Q199-P199) -170733*COS(2*R199+P199) -(1 - 0.002516*L199)*204586*COS(2*R199-Q199) -(1 - 0.002516*L199)*129620*COS(Q199-P199)  + 108743*COS(R199) +(1-0.002516*L199)*104755*COS(Q199+P199) +10321*COS(2*R199-2*S199) +79661*COS(P199-2*S199) -34782*COS(4*R199-P199) -23210*COS(3*P199)  -21636*COS(4*R199-2*P199) +(1 - 0.002516*L199)*24208*COS(2*R199+Q199-P199) +(1 - 0.002516*L199)*30824*COS(2*R199+Q199) -8379*COS(R199-P199) -(1 - 0.002516*L199)*16675*COS(R199+Q199)  -(1 - 0.002516*L199)*12831*COS(2*R199-Q199+P199) -10445*COS(2*R199+2*P199) -11650*COS(4*R199) +14403*COS(2*R199-3*P199) -(1-0.002516*L199)*7003*COS(Q199-2*P199)  + (1 - 0.002516*L199)*10056*COS(2*R199-Q199-2*P199) +6322*COS(R199+P199) -(1 - 0.002516*L199)*(1-0.002516*L199)*9884*COS(2*R199-2*Q199) +(1-0.002516*L199)*5751*COS(Q199+2*P199) - (1-0.002516*L199)^2*4950*COS(2*R199-2*Q199-P199)  +4130*COS(2*R199+P199-2*S199) -(1-0.002516*L199)*3958*COS(4*R199-Q199-P199) +3258*COS(3*R199-P199) +(1 - 0.002516*L199)*2616*COS(2*R199+Q199+P199) -(1 - 0.002516*L199)*1897*COS(4*R199-Q199-2*P199)  -(1-0.002516*L199)^2*2117*COS(2*Q199-P199) +(1-0.002516*L199)^2*2354*COS(2*R199+2*Q199-P199) -1423*COS(4*R199+P199) -1117*COS(4*P199) -(1-0.002516*L199)*1571*COS(4*R199-Q199)  -1739*COS(R199-2*P199) -4421*COS(2*P199-2*S199) +(1-0.002516*L199)^2*1165*COS(2*Q199+P199) +8752*COS(2*R199-P199-2*S199))/1000</f>
        <v>368736.197172595</v>
      </c>
      <c r="AV199" s="54" t="n">
        <f aca="false">ATAN(0.99664719*TAN($A$10*input!$E$2))</f>
        <v>0.871010436227447</v>
      </c>
      <c r="AW199" s="54" t="n">
        <f aca="false">COS(AV199)</f>
        <v>0.644053912545845</v>
      </c>
      <c r="AX199" s="54" t="n">
        <f aca="false">0.99664719*SIN(AV199)</f>
        <v>0.762415269897027</v>
      </c>
      <c r="AY199" s="54" t="n">
        <f aca="false">6378.14/AU199</f>
        <v>0.0172972983094865</v>
      </c>
      <c r="AZ199" s="55" t="n">
        <f aca="false">M199-15*AH199</f>
        <v>-33.0213976104271</v>
      </c>
      <c r="BA199" s="56" t="n">
        <f aca="false">COS($A$10*AG199)*SIN($A$10*AZ199)</f>
        <v>-0.532102159914732</v>
      </c>
      <c r="BB199" s="56" t="n">
        <f aca="false">COS($A$10*AG199)*COS($A$10*AZ199)-AW199*AY199</f>
        <v>0.807555549899892</v>
      </c>
      <c r="BC199" s="56" t="n">
        <f aca="false">SIN($A$10*AG199)-AX199*AY199</f>
        <v>-0.229067888019433</v>
      </c>
      <c r="BD199" s="57" t="n">
        <f aca="false">SQRT(BA199^2+BB199^2+BC199^2)</f>
        <v>0.99385651483588</v>
      </c>
      <c r="BE199" s="58" t="n">
        <f aca="false">AU199*BD199</f>
        <v>366470.871815791</v>
      </c>
    </row>
    <row r="200" customFormat="false" ht="15" hidden="false" customHeight="false" outlineLevel="0" collapsed="false">
      <c r="D200" s="41" t="n">
        <f aca="false">K200-INT(275*E200/9)+IF($A$8="common year",2,1)*INT((E200+9)/12)+30</f>
        <v>18</v>
      </c>
      <c r="E200" s="41" t="n">
        <f aca="false">IF(K200&lt;32,1,INT(9*(IF($A$8="common year",2,1)+K200)/275+0.98))</f>
        <v>7</v>
      </c>
      <c r="F200" s="42" t="n">
        <f aca="false">AM200</f>
        <v>20.555889055086</v>
      </c>
      <c r="G200" s="60" t="n">
        <f aca="false">F200+1.02/(TAN($A$10*(F200+10.3/(F200+5.11)))*60)</f>
        <v>20.6002746429456</v>
      </c>
      <c r="H200" s="43" t="n">
        <f aca="false">100*(1+COS($A$10*AQ200))/2</f>
        <v>76.4333491837756</v>
      </c>
      <c r="I200" s="43" t="n">
        <f aca="false">IF(AI200&gt;180,AT200-180,AT200+180)</f>
        <v>131.055733719255</v>
      </c>
      <c r="J200" s="61" t="n">
        <f aca="false">$J$2+K199</f>
        <v>2459778.5</v>
      </c>
      <c r="K200" s="21" t="n">
        <v>199</v>
      </c>
      <c r="L200" s="62" t="n">
        <f aca="false">(J200-2451545)/36525</f>
        <v>0.225420944558522</v>
      </c>
      <c r="M200" s="63" t="n">
        <f aca="false">MOD(280.46061837+360.98564736629*(J200-2451545)+0.000387933*L200^2-L200^3/38710000+$B$7,360)</f>
        <v>310.788228431251</v>
      </c>
      <c r="N200" s="30" t="n">
        <f aca="false">0.606433+1336.855225*L200 - INT(0.606433+1336.855225*L200)</f>
        <v>0.961600557494876</v>
      </c>
      <c r="O200" s="35" t="n">
        <f aca="false">22640*SIN(P200)-4586*SIN(P200-2*R200)+2370*SIN(2*R200)+769*SIN(2*P200)-668*SIN(Q200)-412*SIN(2*S200)-212*SIN(2*P200-2*R200)-206*SIN(P200+Q200-2*R200)+192*SIN(P200+2*R200)-165*SIN(Q200-2*R200)-125*SIN(R200)-110*SIN(P200+Q200)+148*SIN(P200-Q200)-55*SIN(2*S200-2*R200)</f>
        <v>26382.3994198587</v>
      </c>
      <c r="P200" s="32" t="n">
        <f aca="false">2*PI()*(0.374897+1325.55241*L200 - INT(0.374897+1325.55241*L200))</f>
        <v>1.14462875287163</v>
      </c>
      <c r="Q200" s="36" t="n">
        <f aca="false">2*PI()*(0.993133+99.997361*L200 - INT(0.993133+99.997361*L200))</f>
        <v>3.35919550843466</v>
      </c>
      <c r="R200" s="36" t="n">
        <f aca="false">2*PI()*(0.827361+1236.853086*L200 - INT(0.827361+1236.853086*L200))</f>
        <v>4.02093654026692</v>
      </c>
      <c r="S200" s="36" t="n">
        <f aca="false">2*PI()*(0.259086+1342.227825*L200 - INT(0.259086+1342.227825*L200))</f>
        <v>5.18582777384078</v>
      </c>
      <c r="T200" s="36" t="n">
        <f aca="false">S200+(O200+412*SIN(2*S200)+541*SIN(Q200))/206264.8062</f>
        <v>5.31154590457273</v>
      </c>
      <c r="U200" s="36" t="n">
        <f aca="false">S200-2*R200</f>
        <v>-2.85604530669306</v>
      </c>
      <c r="V200" s="34" t="n">
        <f aca="false">-526*SIN(U200)+44*SIN(P200+U200)-31*SIN(-P200+U200)-23*SIN(Q200+U200)+11*SIN(-Q200+U200)-25*SIN(-2*P200+S200)+21*SIN(-P200+S200)</f>
        <v>48.2721908415294</v>
      </c>
      <c r="W200" s="36" t="n">
        <f aca="false">2*PI()*(N200+O200/1296000-INT(N200+O200/1296000))</f>
        <v>6.16981997601994</v>
      </c>
      <c r="X200" s="35" t="n">
        <f aca="false">W200*180/PI()</f>
        <v>353.504644981449</v>
      </c>
      <c r="Y200" s="36" t="n">
        <f aca="false">(18520*SIN(T200)+V200)/206264.8062</f>
        <v>-0.0739135019651174</v>
      </c>
      <c r="Z200" s="36" t="n">
        <f aca="false">Y200*180/PI()</f>
        <v>-4.23493171163314</v>
      </c>
      <c r="AA200" s="36" t="n">
        <f aca="false">COS(Y200)*COS(W200)</f>
        <v>0.990868196413421</v>
      </c>
      <c r="AB200" s="36" t="n">
        <f aca="false">COS(Y200)*SIN(W200)</f>
        <v>-0.112813798765494</v>
      </c>
      <c r="AC200" s="36" t="n">
        <f aca="false">SIN(Y200)</f>
        <v>-0.0738462195681897</v>
      </c>
      <c r="AD200" s="36" t="n">
        <f aca="false">COS($A$10*(23.4393-46.815*L200/3600))*AB200-SIN($A$10*(23.4393-46.815*L200/3600))*AC200</f>
        <v>-0.074136042283419</v>
      </c>
      <c r="AE200" s="36" t="n">
        <f aca="false">SIN($A$10*(23.4393-46.815*L200/3600))*AB200+COS($A$10*(23.4393-46.815*L200/3600))*AC200</f>
        <v>-0.112623552470013</v>
      </c>
      <c r="AF200" s="36" t="n">
        <f aca="false">SQRT(1-AE200*AE200)</f>
        <v>0.993637728464974</v>
      </c>
      <c r="AG200" s="35" t="n">
        <f aca="false">ATAN(AE200/AF200)/$A$10</f>
        <v>-6.46657408937693</v>
      </c>
      <c r="AH200" s="36" t="n">
        <f aca="false">IF(24*ATAN(AD200/(AA200+AF200))/PI()&gt;0,24*ATAN(AD200/(AA200+AF200))/PI(),24*ATAN(AD200/(AA200+AF200))/PI()+24)</f>
        <v>23.714742902857</v>
      </c>
      <c r="AI200" s="63" t="n">
        <f aca="false">IF(M200-15*AH200&gt;0,M200-15*AH200,360+M200-15*AH200)</f>
        <v>315.067084888395</v>
      </c>
      <c r="AJ200" s="32" t="n">
        <f aca="false">0.950724+0.051818*COS(P200)+0.009531*COS(2*R200-P200)+0.007843*COS(2*R200)+0.002824*COS(2*P200)+0.000857*COS(2*R200+P200)+0.000533*COS(2*R200-Q200)*(1-0.002495*(J200-2415020)/36525)+0.000401*COS(2*R200-Q200-P200)*(1-0.002495*(J200-2415020)/36525)+0.00032*COS(P200-Q200)*(1-0.002495*(J200-2415020)/36525)-0.000271*COS(R200)</f>
        <v>0.975374756827268</v>
      </c>
      <c r="AK200" s="36" t="n">
        <f aca="false">ASIN(COS($A$10*$B$5)*COS($A$10*AG200)*COS($A$10*AI200)+SIN($A$10*$B$5)*SIN($A$10*AG200))/$A$10</f>
        <v>21.4618439047767</v>
      </c>
      <c r="AL200" s="32" t="n">
        <f aca="false">ASIN((0.9983271+0.0016764*COS($A$10*2*$B$5))*COS($A$10*AK200)*SIN($A$10*AJ200))/$A$10</f>
        <v>0.905954849690689</v>
      </c>
      <c r="AM200" s="32" t="n">
        <f aca="false">AK200-AL200</f>
        <v>20.555889055086</v>
      </c>
      <c r="AN200" s="35" t="n">
        <f aca="false"> MOD(280.4664567 + 360007.6982779*L200/10 + 0.03032028*L200^2/100 + L200^3/49931000,360)</f>
        <v>115.794011521704</v>
      </c>
      <c r="AO200" s="32" t="n">
        <f aca="false"> AN200 + (1.9146 - 0.004817*L200 - 0.000014*L200^2)*SIN(Q200)+ (0.019993 - 0.000101*L200)*SIN(2*Q200)+ 0.00029*SIN(3*Q200)</f>
        <v>115.389147050356</v>
      </c>
      <c r="AP200" s="32" t="n">
        <f aca="false">ACOS(COS(W200-$A$10*AO200)*COS(Y200))/$A$10</f>
        <v>121.787237951302</v>
      </c>
      <c r="AQ200" s="34" t="n">
        <f aca="false">180 - AP200 -0.1468*(1-0.0549*SIN(Q200))*SIN($A$10*AP200)/(1-0.0167*SIN($A$10*AO200))</f>
        <v>58.0845675437326</v>
      </c>
      <c r="AR200" s="64" t="n">
        <f aca="false">SIN($A$10*AI200)</f>
        <v>-0.706278379174418</v>
      </c>
      <c r="AS200" s="64" t="n">
        <f aca="false">COS($A$10*AI200)*SIN($A$10*$B$5) - TAN($A$10*AG200)*COS($A$10*$B$5)</f>
        <v>0.615165627885263</v>
      </c>
      <c r="AT200" s="24" t="n">
        <f aca="false">IF(OR(AND(AR200*AS200&gt;0), AND(AR200&lt;0,AS200&gt;0)), MOD(ATAN2(AS200,AR200)/$A$10+360,360),  ATAN2(AS200,AR200)/$A$10)</f>
        <v>311.055733719255</v>
      </c>
      <c r="AU200" s="39" t="n">
        <f aca="false"> 385000.56 + (-20905355*COS(P200) - 3699111*COS(2*R200-P200) - 2955968*COS(2*R200) - 569925*COS(2*P200) + (1-0.002516*L200)*48888*COS(Q200) - 3149*COS(2*S200)  +246158*COS(2*R200-2*P200) -(1 - 0.002516*L200)*152138*COS(2*R200-Q200-P200) -170733*COS(2*R200+P200) -(1 - 0.002516*L200)*204586*COS(2*R200-Q200) -(1 - 0.002516*L200)*129620*COS(Q200-P200)  + 108743*COS(R200) +(1-0.002516*L200)*104755*COS(Q200+P200) +10321*COS(2*R200-2*S200) +79661*COS(P200-2*S200) -34782*COS(4*R200-P200) -23210*COS(3*P200)  -21636*COS(4*R200-2*P200) +(1 - 0.002516*L200)*24208*COS(2*R200+Q200-P200) +(1 - 0.002516*L200)*30824*COS(2*R200+Q200) -8379*COS(R200-P200) -(1 - 0.002516*L200)*16675*COS(R200+Q200)  -(1 - 0.002516*L200)*12831*COS(2*R200-Q200+P200) -10445*COS(2*R200+2*P200) -11650*COS(4*R200) +14403*COS(2*R200-3*P200) -(1-0.002516*L200)*7003*COS(Q200-2*P200)  + (1 - 0.002516*L200)*10056*COS(2*R200-Q200-2*P200) +6322*COS(R200+P200) -(1 - 0.002516*L200)*(1-0.002516*L200)*9884*COS(2*R200-2*Q200) +(1-0.002516*L200)*5751*COS(Q200+2*P200) - (1-0.002516*L200)^2*4950*COS(2*R200-2*Q200-P200)  +4130*COS(2*R200+P200-2*S200) -(1-0.002516*L200)*3958*COS(4*R200-Q200-P200) +3258*COS(3*R200-P200) +(1 - 0.002516*L200)*2616*COS(2*R200+Q200+P200) -(1 - 0.002516*L200)*1897*COS(4*R200-Q200-2*P200)  -(1-0.002516*L200)^2*2117*COS(2*Q200-P200) +(1-0.002516*L200)^2*2354*COS(2*R200+2*Q200-P200) -1423*COS(4*R200+P200) -1117*COS(4*P200) -(1-0.002516*L200)*1571*COS(4*R200-Q200)  -1739*COS(R200-2*P200) -4421*COS(2*P200-2*S200) +(1-0.002516*L200)^2*1165*COS(2*Q200+P200) +8752*COS(2*R200-P200-2*S200))/1000</f>
        <v>374666.681639144</v>
      </c>
      <c r="AV200" s="54" t="n">
        <f aca="false">ATAN(0.99664719*TAN($A$10*input!$E$2))</f>
        <v>0.871010436227447</v>
      </c>
      <c r="AW200" s="54" t="n">
        <f aca="false">COS(AV200)</f>
        <v>0.644053912545845</v>
      </c>
      <c r="AX200" s="54" t="n">
        <f aca="false">0.99664719*SIN(AV200)</f>
        <v>0.762415269897027</v>
      </c>
      <c r="AY200" s="54" t="n">
        <f aca="false">6378.14/AU200</f>
        <v>0.0170235046577828</v>
      </c>
      <c r="AZ200" s="55" t="n">
        <f aca="false">M200-15*AH200</f>
        <v>-44.9329151116046</v>
      </c>
      <c r="BA200" s="56" t="n">
        <f aca="false">COS($A$10*AG200)*SIN($A$10*AZ200)</f>
        <v>-0.701784844346793</v>
      </c>
      <c r="BB200" s="56" t="n">
        <f aca="false">COS($A$10*AG200)*COS($A$10*AZ200)-AW200*AY200</f>
        <v>0.69246608935235</v>
      </c>
      <c r="BC200" s="56" t="n">
        <f aca="false">SIN($A$10*AG200)-AX200*AY200</f>
        <v>-0.12560253236827</v>
      </c>
      <c r="BD200" s="57" t="n">
        <f aca="false">SQRT(BA200^2+BB200^2+BC200^2)</f>
        <v>0.993874865762844</v>
      </c>
      <c r="BE200" s="58" t="n">
        <f aca="false">AU200*BD200</f>
        <v>372371.797919914</v>
      </c>
    </row>
    <row r="201" customFormat="false" ht="15" hidden="false" customHeight="false" outlineLevel="0" collapsed="false">
      <c r="D201" s="41" t="n">
        <f aca="false">K201-INT(275*E201/9)+IF($A$8="common year",2,1)*INT((E201+9)/12)+30</f>
        <v>19</v>
      </c>
      <c r="E201" s="41" t="n">
        <f aca="false">IF(K201&lt;32,1,INT(9*(IF($A$8="common year",2,1)+K201)/275+0.98))</f>
        <v>7</v>
      </c>
      <c r="F201" s="42" t="n">
        <f aca="false">AM201</f>
        <v>19.8062461923039</v>
      </c>
      <c r="G201" s="60" t="n">
        <f aca="false">F201+1.02/(TAN($A$10*(F201+10.3/(F201+5.11)))*60)</f>
        <v>19.8524020327493</v>
      </c>
      <c r="H201" s="43" t="n">
        <f aca="false">100*(1+COS($A$10*AQ201))/2</f>
        <v>66.5613990678011</v>
      </c>
      <c r="I201" s="43" t="n">
        <f aca="false">IF(AI201&gt;180,AT201-180,AT201+180)</f>
        <v>117.441677142243</v>
      </c>
      <c r="J201" s="61" t="n">
        <f aca="false">$J$2+K200</f>
        <v>2459779.5</v>
      </c>
      <c r="K201" s="21" t="n">
        <v>200</v>
      </c>
      <c r="L201" s="62" t="n">
        <f aca="false">(J201-2451545)/36525</f>
        <v>0.225448323066393</v>
      </c>
      <c r="M201" s="63" t="n">
        <f aca="false">MOD(280.46061837+360.98564736629*(J201-2451545)+0.000387933*L201^2-L201^3/38710000+$B$7,360)</f>
        <v>311.77387580229</v>
      </c>
      <c r="N201" s="30" t="n">
        <f aca="false">0.606433+1336.855225*L201 - INT(0.606433+1336.855225*L201)</f>
        <v>0.998201658795324</v>
      </c>
      <c r="O201" s="35" t="n">
        <f aca="false">22640*SIN(P201)-4586*SIN(P201-2*R201)+2370*SIN(2*R201)+769*SIN(2*P201)-668*SIN(Q201)-412*SIN(2*S201)-212*SIN(2*P201-2*R201)-206*SIN(P201+Q201-2*R201)+192*SIN(P201+2*R201)-165*SIN(Q201-2*R201)-125*SIN(R201)-110*SIN(P201+Q201)+148*SIN(P201-Q201)-55*SIN(2*S201-2*R201)</f>
        <v>27912.4141363007</v>
      </c>
      <c r="P201" s="32" t="n">
        <f aca="false">2*PI()*(0.374897+1325.55241*L201 - INT(0.374897+1325.55241*L201))</f>
        <v>1.37265589664709</v>
      </c>
      <c r="Q201" s="36" t="n">
        <f aca="false">2*PI()*(0.993133+99.997361*L201 - INT(0.993133+99.997361*L201))</f>
        <v>3.37639747830162</v>
      </c>
      <c r="R201" s="36" t="n">
        <f aca="false">2*PI()*(0.827361+1236.853086*L201 - INT(0.827361+1236.853086*L201))</f>
        <v>4.23370525038594</v>
      </c>
      <c r="S201" s="36" t="n">
        <f aca="false">2*PI()*(0.259086+1342.227825*L201 - INT(0.259086+1342.227825*L201))</f>
        <v>5.41672349318142</v>
      </c>
      <c r="T201" s="36" t="n">
        <f aca="false">S201+(O201+412*SIN(2*S201)+541*SIN(Q201))/206264.8062</f>
        <v>5.54946524486069</v>
      </c>
      <c r="U201" s="36" t="n">
        <f aca="false">S201-2*R201</f>
        <v>-3.05068700759046</v>
      </c>
      <c r="V201" s="34" t="n">
        <f aca="false">-526*SIN(U201)+44*SIN(P201+U201)-31*SIN(-P201+U201)-23*SIN(Q201+U201)+11*SIN(-Q201+U201)-25*SIN(-2*P201+S201)+21*SIN(-P201+S201)</f>
        <v>-62.4560530409838</v>
      </c>
      <c r="W201" s="36" t="n">
        <f aca="false">2*PI()*(N201+O201/1296000-INT(N201+O201/1296000))</f>
        <v>0.124023891426223</v>
      </c>
      <c r="X201" s="35" t="n">
        <f aca="false">W201*180/PI()</f>
        <v>7.10604553751131</v>
      </c>
      <c r="Y201" s="36" t="n">
        <f aca="false">(18520*SIN(T201)+V201)/206264.8062</f>
        <v>-0.0604278332793553</v>
      </c>
      <c r="Z201" s="36" t="n">
        <f aca="false">Y201*180/PI()</f>
        <v>-3.46225981202724</v>
      </c>
      <c r="AA201" s="36" t="n">
        <f aca="false">COS(Y201)*COS(W201)</f>
        <v>0.990507704198807</v>
      </c>
      <c r="AB201" s="36" t="n">
        <f aca="false">COS(Y201)*SIN(W201)</f>
        <v>0.123480392228002</v>
      </c>
      <c r="AC201" s="36" t="n">
        <f aca="false">SIN(Y201)</f>
        <v>-0.0603910643889257</v>
      </c>
      <c r="AD201" s="36" t="n">
        <f aca="false">COS($A$10*(23.4393-46.815*L201/3600))*AB201-SIN($A$10*(23.4393-46.815*L201/3600))*AC201</f>
        <v>0.137312909664964</v>
      </c>
      <c r="AE201" s="36" t="n">
        <f aca="false">SIN($A$10*(23.4393-46.815*L201/3600))*AB201+COS($A$10*(23.4393-46.815*L201/3600))*AC201</f>
        <v>-0.00629704392156384</v>
      </c>
      <c r="AF201" s="36" t="n">
        <f aca="false">SQRT(1-AE201*AE201)</f>
        <v>0.999980173422378</v>
      </c>
      <c r="AG201" s="35" t="n">
        <f aca="false">ATAN(AE201/AF201)/$A$10</f>
        <v>-0.360796424570041</v>
      </c>
      <c r="AH201" s="36" t="n">
        <f aca="false">IF(24*ATAN(AD201/(AA201+AF201))/PI()&gt;0,24*ATAN(AD201/(AA201+AF201))/PI(),24*ATAN(AD201/(AA201+AF201))/PI()+24)</f>
        <v>0.526169538373832</v>
      </c>
      <c r="AI201" s="63" t="n">
        <f aca="false">IF(M201-15*AH201&gt;0,M201-15*AH201,360+M201-15*AH201)</f>
        <v>303.881332726682</v>
      </c>
      <c r="AJ201" s="32" t="n">
        <f aca="false">0.950724+0.051818*COS(P201)+0.009531*COS(2*R201-P201)+0.007843*COS(2*R201)+0.002824*COS(2*P201)+0.000857*COS(2*R201+P201)+0.000533*COS(2*R201-Q201)*(1-0.002495*(J201-2415020)/36525)+0.000401*COS(2*R201-Q201-P201)*(1-0.002495*(J201-2415020)/36525)+0.00032*COS(P201-Q201)*(1-0.002495*(J201-2415020)/36525)-0.000271*COS(R201)</f>
        <v>0.959432936069681</v>
      </c>
      <c r="AK201" s="36" t="n">
        <f aca="false">ASIN(COS($A$10*$B$5)*COS($A$10*AG201)*COS($A$10*AI201)+SIN($A$10*$B$5)*SIN($A$10*AG201))/$A$10</f>
        <v>20.701962351752</v>
      </c>
      <c r="AL201" s="32" t="n">
        <f aca="false">ASIN((0.9983271+0.0016764*COS($A$10*2*$B$5))*COS($A$10*AK201)*SIN($A$10*AJ201))/$A$10</f>
        <v>0.895716159448065</v>
      </c>
      <c r="AM201" s="32" t="n">
        <f aca="false">AK201-AL201</f>
        <v>19.8062461923039</v>
      </c>
      <c r="AN201" s="35" t="n">
        <f aca="false"> MOD(280.4664567 + 360007.6982779*L201/10 + 0.03032028*L201^2/100 + L201^3/49931000,360)</f>
        <v>116.779658885551</v>
      </c>
      <c r="AO201" s="32" t="n">
        <f aca="false"> AN201 + (1.9146 - 0.004817*L201 - 0.000014*L201^2)*SIN(Q201)+ (0.019993 - 0.000101*L201)*SIN(2*Q201)+ 0.00029*SIN(3*Q201)</f>
        <v>116.343323440865</v>
      </c>
      <c r="AP201" s="32" t="n">
        <f aca="false">ACOS(COS(W201-$A$10*AO201)*COS(Y201))/$A$10</f>
        <v>109.200788221752</v>
      </c>
      <c r="AQ201" s="34" t="n">
        <f aca="false">180 - AP201 -0.1468*(1-0.0549*SIN(Q201))*SIN($A$10*AP201)/(1-0.0167*SIN($A$10*AO201))</f>
        <v>70.656674089431</v>
      </c>
      <c r="AR201" s="64" t="n">
        <f aca="false">SIN($A$10*AI201)</f>
        <v>-0.830193957397763</v>
      </c>
      <c r="AS201" s="64" t="n">
        <f aca="false">COS($A$10*AI201)*SIN($A$10*$B$5) - TAN($A$10*AG201)*COS($A$10*$B$5)</f>
        <v>0.43109810517115</v>
      </c>
      <c r="AT201" s="24" t="n">
        <f aca="false">IF(OR(AND(AR201*AS201&gt;0), AND(AR201&lt;0,AS201&gt;0)), MOD(ATAN2(AS201,AR201)/$A$10+360,360),  ATAN2(AS201,AR201)/$A$10)</f>
        <v>297.441677142243</v>
      </c>
      <c r="AU201" s="39" t="n">
        <f aca="false"> 385000.56 + (-20905355*COS(P201) - 3699111*COS(2*R201-P201) - 2955968*COS(2*R201) - 569925*COS(2*P201) + (1-0.002516*L201)*48888*COS(Q201) - 3149*COS(2*S201)  +246158*COS(2*R201-2*P201) -(1 - 0.002516*L201)*152138*COS(2*R201-Q201-P201) -170733*COS(2*R201+P201) -(1 - 0.002516*L201)*204586*COS(2*R201-Q201) -(1 - 0.002516*L201)*129620*COS(Q201-P201)  + 108743*COS(R201) +(1-0.002516*L201)*104755*COS(Q201+P201) +10321*COS(2*R201-2*S201) +79661*COS(P201-2*S201) -34782*COS(4*R201-P201) -23210*COS(3*P201)  -21636*COS(4*R201-2*P201) +(1 - 0.002516*L201)*24208*COS(2*R201+Q201-P201) +(1 - 0.002516*L201)*30824*COS(2*R201+Q201) -8379*COS(R201-P201) -(1 - 0.002516*L201)*16675*COS(R201+Q201)  -(1 - 0.002516*L201)*12831*COS(2*R201-Q201+P201) -10445*COS(2*R201+2*P201) -11650*COS(4*R201) +14403*COS(2*R201-3*P201) -(1-0.002516*L201)*7003*COS(Q201-2*P201)  + (1 - 0.002516*L201)*10056*COS(2*R201-Q201-2*P201) +6322*COS(R201+P201) -(1 - 0.002516*L201)*(1-0.002516*L201)*9884*COS(2*R201-2*Q201) +(1-0.002516*L201)*5751*COS(Q201+2*P201) - (1-0.002516*L201)^2*4950*COS(2*R201-2*Q201-P201)  +4130*COS(2*R201+P201-2*S201) -(1-0.002516*L201)*3958*COS(4*R201-Q201-P201) +3258*COS(3*R201-P201) +(1 - 0.002516*L201)*2616*COS(2*R201+Q201+P201) -(1 - 0.002516*L201)*1897*COS(4*R201-Q201-2*P201)  -(1-0.002516*L201)^2*2117*COS(2*Q201-P201) +(1-0.002516*L201)^2*2354*COS(2*R201+2*Q201-P201) -1423*COS(4*R201+P201) -1117*COS(4*P201) -(1-0.002516*L201)*1571*COS(4*R201-Q201)  -1739*COS(R201-2*P201) -4421*COS(2*P201-2*S201) +(1-0.002516*L201)^2*1165*COS(2*Q201+P201) +8752*COS(2*R201-P201-2*S201))/1000</f>
        <v>380891.238640634</v>
      </c>
      <c r="AV201" s="54" t="n">
        <f aca="false">ATAN(0.99664719*TAN($A$10*input!$E$2))</f>
        <v>0.871010436227447</v>
      </c>
      <c r="AW201" s="54" t="n">
        <f aca="false">COS(AV201)</f>
        <v>0.644053912545845</v>
      </c>
      <c r="AX201" s="54" t="n">
        <f aca="false">0.99664719*SIN(AV201)</f>
        <v>0.762415269897027</v>
      </c>
      <c r="AY201" s="54" t="n">
        <f aca="false">6378.14/AU201</f>
        <v>0.0167453050974945</v>
      </c>
      <c r="AZ201" s="55" t="n">
        <f aca="false">M201-15*AH201</f>
        <v>303.881332726682</v>
      </c>
      <c r="BA201" s="56" t="n">
        <f aca="false">COS($A$10*AG201)*SIN($A$10*AZ201)</f>
        <v>-0.830177497492826</v>
      </c>
      <c r="BB201" s="56" t="n">
        <f aca="false">COS($A$10*AG201)*COS($A$10*AZ201)-AW201*AY201</f>
        <v>0.546678724833604</v>
      </c>
      <c r="BC201" s="56" t="n">
        <f aca="false">SIN($A$10*AG201)-AX201*AY201</f>
        <v>-0.0190639202269782</v>
      </c>
      <c r="BD201" s="57" t="n">
        <f aca="false">SQRT(BA201^2+BB201^2+BC201^2)</f>
        <v>0.994190997034054</v>
      </c>
      <c r="BE201" s="58" t="n">
        <f aca="false">AU201*BD201</f>
        <v>378678.640305668</v>
      </c>
    </row>
    <row r="202" customFormat="false" ht="15" hidden="false" customHeight="false" outlineLevel="0" collapsed="false">
      <c r="D202" s="41" t="n">
        <f aca="false">K202-INT(275*E202/9)+IF($A$8="common year",2,1)*INT((E202+9)/12)+30</f>
        <v>20</v>
      </c>
      <c r="E202" s="41" t="n">
        <f aca="false">IF(K202&lt;32,1,INT(9*(IF($A$8="common year",2,1)+K202)/275+0.98))</f>
        <v>7</v>
      </c>
      <c r="F202" s="42" t="n">
        <f aca="false">AM202</f>
        <v>18.1008121068455</v>
      </c>
      <c r="G202" s="60" t="n">
        <f aca="false">F202+1.02/(TAN($A$10*(F202+10.3/(F202+5.11)))*60)</f>
        <v>18.1514887076968</v>
      </c>
      <c r="H202" s="43" t="n">
        <f aca="false">100*(1+COS($A$10*AQ202))/2</f>
        <v>56.2748721082902</v>
      </c>
      <c r="I202" s="43" t="n">
        <f aca="false">IF(AI202&gt;180,AT202-180,AT202+180)</f>
        <v>104.520876916953</v>
      </c>
      <c r="J202" s="61" t="n">
        <f aca="false">$J$2+K201</f>
        <v>2459780.5</v>
      </c>
      <c r="K202" s="21" t="n">
        <v>201</v>
      </c>
      <c r="L202" s="62" t="n">
        <f aca="false">(J202-2451545)/36525</f>
        <v>0.225475701574264</v>
      </c>
      <c r="M202" s="63" t="n">
        <f aca="false">MOD(280.46061837+360.98564736629*(J202-2451545)+0.000387933*L202^2-L202^3/38710000+$B$7,360)</f>
        <v>312.759523172863</v>
      </c>
      <c r="N202" s="30" t="n">
        <f aca="false">0.606433+1336.855225*L202 - INT(0.606433+1336.855225*L202)</f>
        <v>0.0348027600957721</v>
      </c>
      <c r="O202" s="35" t="n">
        <f aca="false">22640*SIN(P202)-4586*SIN(P202-2*R202)+2370*SIN(2*R202)+769*SIN(2*P202)-668*SIN(Q202)-412*SIN(2*S202)-212*SIN(2*P202-2*R202)-206*SIN(P202+Q202-2*R202)+192*SIN(P202+2*R202)-165*SIN(Q202-2*R202)-125*SIN(R202)-110*SIN(P202+Q202)+148*SIN(P202-Q202)-55*SIN(2*S202-2*R202)</f>
        <v>27727.6588285478</v>
      </c>
      <c r="P202" s="32" t="n">
        <f aca="false">2*PI()*(0.374897+1325.55241*L202 - INT(0.374897+1325.55241*L202))</f>
        <v>1.60068304042291</v>
      </c>
      <c r="Q202" s="36" t="n">
        <f aca="false">2*PI()*(0.993133+99.997361*L202 - INT(0.993133+99.997361*L202))</f>
        <v>3.39359944816863</v>
      </c>
      <c r="R202" s="36" t="n">
        <f aca="false">2*PI()*(0.827361+1236.853086*L202 - INT(0.827361+1236.853086*L202))</f>
        <v>4.44647396050497</v>
      </c>
      <c r="S202" s="36" t="n">
        <f aca="false">2*PI()*(0.259086+1342.227825*L202 - INT(0.259086+1342.227825*L202))</f>
        <v>5.64761921252243</v>
      </c>
      <c r="T202" s="36" t="n">
        <f aca="false">S202+(O202+412*SIN(2*S202)+541*SIN(Q202))/206264.8062</f>
        <v>5.77948427777049</v>
      </c>
      <c r="U202" s="36" t="n">
        <f aca="false">S202-2*R202</f>
        <v>-3.24532870848751</v>
      </c>
      <c r="V202" s="34" t="n">
        <f aca="false">-526*SIN(U202)+44*SIN(P202+U202)-31*SIN(-P202+U202)-23*SIN(Q202+U202)+11*SIN(-Q202+U202)-25*SIN(-2*P202+S202)+21*SIN(-P202+S202)</f>
        <v>-168.835522157158</v>
      </c>
      <c r="W202" s="36" t="n">
        <f aca="false">2*PI()*(N202+O202/1296000-INT(N202+O202/1296000))</f>
        <v>0.353099674335227</v>
      </c>
      <c r="X202" s="35" t="n">
        <f aca="false">W202*180/PI()</f>
        <v>20.2311210868523</v>
      </c>
      <c r="Y202" s="36" t="n">
        <f aca="false">(18520*SIN(T202)+V202)/206264.8062</f>
        <v>-0.0441562858716271</v>
      </c>
      <c r="Z202" s="36" t="n">
        <f aca="false">Y202*180/PI()</f>
        <v>-2.52996881941738</v>
      </c>
      <c r="AA202" s="36" t="n">
        <f aca="false">COS(Y202)*COS(W202)</f>
        <v>0.937390735552207</v>
      </c>
      <c r="AB202" s="36" t="n">
        <f aca="false">COS(Y202)*SIN(W202)</f>
        <v>0.345470835527976</v>
      </c>
      <c r="AC202" s="36" t="n">
        <f aca="false">SIN(Y202)</f>
        <v>-0.044141938114396</v>
      </c>
      <c r="AD202" s="36" t="n">
        <f aca="false">COS($A$10*(23.4393-46.815*L202/3600))*AB202-SIN($A$10*(23.4393-46.815*L202/3600))*AC202</f>
        <v>0.334526893644776</v>
      </c>
      <c r="AE202" s="36" t="n">
        <f aca="false">SIN($A$10*(23.4393-46.815*L202/3600))*AB202+COS($A$10*(23.4393-46.815*L202/3600))*AC202</f>
        <v>0.0969039025492255</v>
      </c>
      <c r="AF202" s="36" t="n">
        <f aca="false">SQRT(1-AE202*AE202)</f>
        <v>0.99529374240509</v>
      </c>
      <c r="AG202" s="35" t="n">
        <f aca="false">ATAN(AE202/AF202)/$A$10</f>
        <v>5.56091106786817</v>
      </c>
      <c r="AH202" s="36" t="n">
        <f aca="false">IF(24*ATAN(AD202/(AA202+AF202))/PI()&gt;0,24*ATAN(AD202/(AA202+AF202))/PI(),24*ATAN(AD202/(AA202+AF202))/PI()+24)</f>
        <v>1.30933146643999</v>
      </c>
      <c r="AI202" s="63" t="n">
        <f aca="false">IF(M202-15*AH202&gt;0,M202-15*AH202,360+M202-15*AH202)</f>
        <v>293.119551176263</v>
      </c>
      <c r="AJ202" s="32" t="n">
        <f aca="false">0.950724+0.051818*COS(P202)+0.009531*COS(2*R202-P202)+0.007843*COS(2*R202)+0.002824*COS(2*P202)+0.000857*COS(2*R202+P202)+0.000533*COS(2*R202-Q202)*(1-0.002495*(J202-2415020)/36525)+0.000401*COS(2*R202-Q202-P202)*(1-0.002495*(J202-2415020)/36525)+0.00032*COS(P202-Q202)*(1-0.002495*(J202-2415020)/36525)-0.000271*COS(R202)</f>
        <v>0.944347821522136</v>
      </c>
      <c r="AK202" s="36" t="n">
        <f aca="false">ASIN(COS($A$10*$B$5)*COS($A$10*AG202)*COS($A$10*AI202)+SIN($A$10*$B$5)*SIN($A$10*AG202))/$A$10</f>
        <v>18.9919953029257</v>
      </c>
      <c r="AL202" s="32" t="n">
        <f aca="false">ASIN((0.9983271+0.0016764*COS($A$10*2*$B$5))*COS($A$10*AK202)*SIN($A$10*AJ202))/$A$10</f>
        <v>0.891183196080272</v>
      </c>
      <c r="AM202" s="32" t="n">
        <f aca="false">AK202-AL202</f>
        <v>18.1008121068455</v>
      </c>
      <c r="AN202" s="35" t="n">
        <f aca="false"> MOD(280.4664567 + 360007.6982779*L202/10 + 0.03032028*L202^2/100 + L202^3/49931000,360)</f>
        <v>117.765306249397</v>
      </c>
      <c r="AO202" s="32" t="n">
        <f aca="false"> AN202 + (1.9146 - 0.004817*L202 - 0.000014*L202^2)*SIN(Q202)+ (0.019993 - 0.000101*L202)*SIN(2*Q202)+ 0.00029*SIN(3*Q202)</f>
        <v>117.297621370323</v>
      </c>
      <c r="AP202" s="32" t="n">
        <f aca="false">ACOS(COS(W202-$A$10*AO202)*COS(Y202))/$A$10</f>
        <v>97.059577264265</v>
      </c>
      <c r="AQ202" s="34" t="n">
        <f aca="false">180 - AP202 -0.1468*(1-0.0549*SIN(Q202))*SIN($A$10*AP202)/(1-0.0167*SIN($A$10*AO202))</f>
        <v>82.7905166628212</v>
      </c>
      <c r="AR202" s="64" t="n">
        <f aca="false">SIN($A$10*AI202)</f>
        <v>-0.919687565637245</v>
      </c>
      <c r="AS202" s="64" t="n">
        <f aca="false">COS($A$10*AI202)*SIN($A$10*$B$5) - TAN($A$10*AG202)*COS($A$10*$B$5)</f>
        <v>0.238204930725876</v>
      </c>
      <c r="AT202" s="24" t="n">
        <f aca="false">IF(OR(AND(AR202*AS202&gt;0), AND(AR202&lt;0,AS202&gt;0)), MOD(ATAN2(AS202,AR202)/$A$10+360,360),  ATAN2(AS202,AR202)/$A$10)</f>
        <v>284.520876916953</v>
      </c>
      <c r="AU202" s="39" t="n">
        <f aca="false"> 385000.56 + (-20905355*COS(P202) - 3699111*COS(2*R202-P202) - 2955968*COS(2*R202) - 569925*COS(2*P202) + (1-0.002516*L202)*48888*COS(Q202) - 3149*COS(2*S202)  +246158*COS(2*R202-2*P202) -(1 - 0.002516*L202)*152138*COS(2*R202-Q202-P202) -170733*COS(2*R202+P202) -(1 - 0.002516*L202)*204586*COS(2*R202-Q202) -(1 - 0.002516*L202)*129620*COS(Q202-P202)  + 108743*COS(R202) +(1-0.002516*L202)*104755*COS(Q202+P202) +10321*COS(2*R202-2*S202) +79661*COS(P202-2*S202) -34782*COS(4*R202-P202) -23210*COS(3*P202)  -21636*COS(4*R202-2*P202) +(1 - 0.002516*L202)*24208*COS(2*R202+Q202-P202) +(1 - 0.002516*L202)*30824*COS(2*R202+Q202) -8379*COS(R202-P202) -(1 - 0.002516*L202)*16675*COS(R202+Q202)  -(1 - 0.002516*L202)*12831*COS(2*R202-Q202+P202) -10445*COS(2*R202+2*P202) -11650*COS(4*R202) +14403*COS(2*R202-3*P202) -(1-0.002516*L202)*7003*COS(Q202-2*P202)  + (1 - 0.002516*L202)*10056*COS(2*R202-Q202-2*P202) +6322*COS(R202+P202) -(1 - 0.002516*L202)*(1-0.002516*L202)*9884*COS(2*R202-2*Q202) +(1-0.002516*L202)*5751*COS(Q202+2*P202) - (1-0.002516*L202)^2*4950*COS(2*R202-2*Q202-P202)  +4130*COS(2*R202+P202-2*S202) -(1-0.002516*L202)*3958*COS(4*R202-Q202-P202) +3258*COS(3*R202-P202) +(1 - 0.002516*L202)*2616*COS(2*R202+Q202+P202) -(1 - 0.002516*L202)*1897*COS(4*R202-Q202-2*P202)  -(1-0.002516*L202)^2*2117*COS(2*Q202-P202) +(1-0.002516*L202)^2*2354*COS(2*R202+2*Q202-P202) -1423*COS(4*R202+P202) -1117*COS(4*P202) -(1-0.002516*L202)*1571*COS(4*R202-Q202)  -1739*COS(R202-2*P202) -4421*COS(2*P202-2*S202) +(1-0.002516*L202)^2*1165*COS(2*Q202+P202) +8752*COS(2*R202-P202-2*S202))/1000</f>
        <v>386947.951901665</v>
      </c>
      <c r="AV202" s="54" t="n">
        <f aca="false">ATAN(0.99664719*TAN($A$10*input!$E$2))</f>
        <v>0.871010436227447</v>
      </c>
      <c r="AW202" s="54" t="n">
        <f aca="false">COS(AV202)</f>
        <v>0.644053912545845</v>
      </c>
      <c r="AX202" s="54" t="n">
        <f aca="false">0.99664719*SIN(AV202)</f>
        <v>0.762415269897027</v>
      </c>
      <c r="AY202" s="54" t="n">
        <f aca="false">6378.14/AU202</f>
        <v>0.016483198757493</v>
      </c>
      <c r="AZ202" s="55" t="n">
        <f aca="false">M202-15*AH202</f>
        <v>293.119551176263</v>
      </c>
      <c r="BA202" s="56" t="n">
        <f aca="false">COS($A$10*AG202)*SIN($A$10*AZ202)</f>
        <v>-0.915359279046521</v>
      </c>
      <c r="BB202" s="56" t="n">
        <f aca="false">COS($A$10*AG202)*COS($A$10*AZ202)-AW202*AY202</f>
        <v>0.380186981406362</v>
      </c>
      <c r="BC202" s="56" t="n">
        <f aca="false">SIN($A$10*AG202)-AX202*AY202</f>
        <v>0.0843368601197651</v>
      </c>
      <c r="BD202" s="57" t="n">
        <f aca="false">SQRT(BA202^2+BB202^2+BC202^2)</f>
        <v>0.994754973117656</v>
      </c>
      <c r="BE202" s="58" t="n">
        <f aca="false">AU202*BD202</f>
        <v>384918.399491873</v>
      </c>
    </row>
    <row r="203" customFormat="false" ht="15" hidden="false" customHeight="false" outlineLevel="0" collapsed="false">
      <c r="D203" s="41" t="n">
        <f aca="false">K203-INT(275*E203/9)+IF($A$8="common year",2,1)*INT((E203+9)/12)+30</f>
        <v>21</v>
      </c>
      <c r="E203" s="41" t="n">
        <f aca="false">IF(K203&lt;32,1,INT(9*(IF($A$8="common year",2,1)+K203)/275+0.98))</f>
        <v>7</v>
      </c>
      <c r="F203" s="42" t="n">
        <f aca="false">AM203</f>
        <v>15.591519514176</v>
      </c>
      <c r="G203" s="60" t="n">
        <f aca="false">F203+1.02/(TAN($A$10*(F203+10.3/(F203+5.11)))*60)</f>
        <v>15.6504596029461</v>
      </c>
      <c r="H203" s="43" t="n">
        <f aca="false">100*(1+COS($A$10*AQ203))/2</f>
        <v>46.0517508964599</v>
      </c>
      <c r="I203" s="43" t="n">
        <f aca="false">IF(AI203&gt;180,AT203-180,AT203+180)</f>
        <v>92.3421190209561</v>
      </c>
      <c r="J203" s="61" t="n">
        <f aca="false">$J$2+K202</f>
        <v>2459781.5</v>
      </c>
      <c r="K203" s="21" t="n">
        <v>202</v>
      </c>
      <c r="L203" s="62" t="n">
        <f aca="false">(J203-2451545)/36525</f>
        <v>0.225503080082136</v>
      </c>
      <c r="M203" s="63" t="n">
        <f aca="false">MOD(280.46061837+360.98564736629*(J203-2451545)+0.000387933*L203^2-L203^3/38710000+$B$7,360)</f>
        <v>313.745170543902</v>
      </c>
      <c r="N203" s="30" t="n">
        <f aca="false">0.606433+1336.855225*L203 - INT(0.606433+1336.855225*L203)</f>
        <v>0.0714038613962771</v>
      </c>
      <c r="O203" s="35" t="n">
        <f aca="false">22640*SIN(P203)-4586*SIN(P203-2*R203)+2370*SIN(2*R203)+769*SIN(2*P203)-668*SIN(Q203)-412*SIN(2*S203)-212*SIN(2*P203-2*R203)-206*SIN(P203+Q203-2*R203)+192*SIN(P203+2*R203)-165*SIN(Q203-2*R203)-125*SIN(R203)-110*SIN(P203+Q203)+148*SIN(P203-Q203)-55*SIN(2*S203-2*R203)</f>
        <v>26020.8139385202</v>
      </c>
      <c r="P203" s="32" t="n">
        <f aca="false">2*PI()*(0.374897+1325.55241*L203 - INT(0.374897+1325.55241*L203))</f>
        <v>1.82871018419873</v>
      </c>
      <c r="Q203" s="36" t="n">
        <f aca="false">2*PI()*(0.993133+99.997361*L203 - INT(0.993133+99.997361*L203))</f>
        <v>3.41080141803561</v>
      </c>
      <c r="R203" s="36" t="n">
        <f aca="false">2*PI()*(0.827361+1236.853086*L203 - INT(0.827361+1236.853086*L203))</f>
        <v>4.65924267062364</v>
      </c>
      <c r="S203" s="36" t="n">
        <f aca="false">2*PI()*(0.259086+1342.227825*L203 - INT(0.259086+1342.227825*L203))</f>
        <v>5.87851493186343</v>
      </c>
      <c r="T203" s="36" t="n">
        <f aca="false">S203+(O203+412*SIN(2*S203)+541*SIN(Q203))/206264.8062</f>
        <v>6.00252399730734</v>
      </c>
      <c r="U203" s="36" t="n">
        <f aca="false">S203-2*R203</f>
        <v>-3.43997040938384</v>
      </c>
      <c r="V203" s="34" t="n">
        <f aca="false">-526*SIN(U203)+44*SIN(P203+U203)-31*SIN(-P203+U203)-23*SIN(Q203+U203)+11*SIN(-Q203+U203)-25*SIN(-2*P203+S203)+21*SIN(-P203+S203)</f>
        <v>-266.61489481838</v>
      </c>
      <c r="W203" s="36" t="n">
        <f aca="false">2*PI()*(N203+O203/1296000-INT(N203+O203/1296000))</f>
        <v>0.574796158710979</v>
      </c>
      <c r="X203" s="35" t="n">
        <f aca="false">W203*180/PI()</f>
        <v>32.9333939744709</v>
      </c>
      <c r="Y203" s="36" t="n">
        <f aca="false">(18520*SIN(T203)+V203)/206264.8062</f>
        <v>-0.0261629260587506</v>
      </c>
      <c r="Z203" s="36" t="n">
        <f aca="false">Y203*180/PI()</f>
        <v>-1.49902524287925</v>
      </c>
      <c r="AA203" s="36" t="n">
        <f aca="false">COS(Y203)*COS(W203)</f>
        <v>0.839015906400317</v>
      </c>
      <c r="AB203" s="36" t="n">
        <f aca="false">COS(Y203)*SIN(W203)</f>
        <v>0.543477659405182</v>
      </c>
      <c r="AC203" s="36" t="n">
        <f aca="false">SIN(Y203)</f>
        <v>-0.026159941412756</v>
      </c>
      <c r="AD203" s="36" t="n">
        <f aca="false">COS($A$10*(23.4393-46.815*L203/3600))*AB203-SIN($A$10*(23.4393-46.815*L203/3600))*AC203</f>
        <v>0.509046636390584</v>
      </c>
      <c r="AE203" s="36" t="n">
        <f aca="false">SIN($A$10*(23.4393-46.815*L203/3600))*AB203+COS($A$10*(23.4393-46.815*L203/3600))*AC203</f>
        <v>0.192155746171397</v>
      </c>
      <c r="AF203" s="36" t="n">
        <f aca="false">SQRT(1-AE203*AE203)</f>
        <v>0.981364442606983</v>
      </c>
      <c r="AG203" s="35" t="n">
        <f aca="false">ATAN(AE203/AF203)/$A$10</f>
        <v>11.078617884529</v>
      </c>
      <c r="AH203" s="36" t="n">
        <f aca="false">IF(24*ATAN(AD203/(AA203+AF203))/PI()&gt;0,24*ATAN(AD203/(AA203+AF203))/PI(),24*ATAN(AD203/(AA203+AF203))/PI()+24)</f>
        <v>2.08306475528764</v>
      </c>
      <c r="AI203" s="63" t="n">
        <f aca="false">IF(M203-15*AH203&gt;0,M203-15*AH203,360+M203-15*AH203)</f>
        <v>282.499199214587</v>
      </c>
      <c r="AJ203" s="32" t="n">
        <f aca="false">0.950724+0.051818*COS(P203)+0.009531*COS(2*R203-P203)+0.007843*COS(2*R203)+0.002824*COS(2*P203)+0.000857*COS(2*R203+P203)+0.000533*COS(2*R203-Q203)*(1-0.002495*(J203-2415020)/36525)+0.000401*COS(2*R203-Q203-P203)*(1-0.002495*(J203-2415020)/36525)+0.00032*COS(P203-Q203)*(1-0.002495*(J203-2415020)/36525)-0.000271*COS(R203)</f>
        <v>0.931044777206806</v>
      </c>
      <c r="AK203" s="36" t="n">
        <f aca="false">ASIN(COS($A$10*$B$5)*COS($A$10*AG203)*COS($A$10*AI203)+SIN($A$10*$B$5)*SIN($A$10*AG203))/$A$10</f>
        <v>16.4825473954657</v>
      </c>
      <c r="AL203" s="32" t="n">
        <f aca="false">ASIN((0.9983271+0.0016764*COS($A$10*2*$B$5))*COS($A$10*AK203)*SIN($A$10*AJ203))/$A$10</f>
        <v>0.891027881289648</v>
      </c>
      <c r="AM203" s="32" t="n">
        <f aca="false">AK203-AL203</f>
        <v>15.591519514176</v>
      </c>
      <c r="AN203" s="35" t="n">
        <f aca="false"> MOD(280.4664567 + 360007.6982779*L203/10 + 0.03032028*L203^2/100 + L203^3/49931000,360)</f>
        <v>118.750953613246</v>
      </c>
      <c r="AO203" s="32" t="n">
        <f aca="false"> AN203 + (1.9146 - 0.004817*L203 - 0.000014*L203^2)*SIN(Q203)+ (0.019993 - 0.000101*L203)*SIN(2*Q203)+ 0.00029*SIN(3*Q203)</f>
        <v>118.252049602449</v>
      </c>
      <c r="AP203" s="32" t="n">
        <f aca="false">ACOS(COS(W203-$A$10*AO203)*COS(Y203))/$A$10</f>
        <v>85.3202612963902</v>
      </c>
      <c r="AQ203" s="34" t="n">
        <f aca="false">180 - AP203 -0.1468*(1-0.0549*SIN(Q203))*SIN($A$10*AP203)/(1-0.0167*SIN($A$10*AO203))</f>
        <v>94.5290753620632</v>
      </c>
      <c r="AR203" s="64" t="n">
        <f aca="false">SIN($A$10*AI203)</f>
        <v>-0.976299032058659</v>
      </c>
      <c r="AS203" s="64" t="n">
        <f aca="false">COS($A$10*AI203)*SIN($A$10*$B$5) - TAN($A$10*AG203)*COS($A$10*$B$5)</f>
        <v>0.0399310915090528</v>
      </c>
      <c r="AT203" s="24" t="n">
        <f aca="false">IF(OR(AND(AR203*AS203&gt;0), AND(AR203&lt;0,AS203&gt;0)), MOD(ATAN2(AS203,AR203)/$A$10+360,360),  ATAN2(AS203,AR203)/$A$10)</f>
        <v>272.342119020956</v>
      </c>
      <c r="AU203" s="39" t="n">
        <f aca="false"> 385000.56 + (-20905355*COS(P203) - 3699111*COS(2*R203-P203) - 2955968*COS(2*R203) - 569925*COS(2*P203) + (1-0.002516*L203)*48888*COS(Q203) - 3149*COS(2*S203)  +246158*COS(2*R203-2*P203) -(1 - 0.002516*L203)*152138*COS(2*R203-Q203-P203) -170733*COS(2*R203+P203) -(1 - 0.002516*L203)*204586*COS(2*R203-Q203) -(1 - 0.002516*L203)*129620*COS(Q203-P203)  + 108743*COS(R203) +(1-0.002516*L203)*104755*COS(Q203+P203) +10321*COS(2*R203-2*S203) +79661*COS(P203-2*S203) -34782*COS(4*R203-P203) -23210*COS(3*P203)  -21636*COS(4*R203-2*P203) +(1 - 0.002516*L203)*24208*COS(2*R203+Q203-P203) +(1 - 0.002516*L203)*30824*COS(2*R203+Q203) -8379*COS(R203-P203) -(1 - 0.002516*L203)*16675*COS(R203+Q203)  -(1 - 0.002516*L203)*12831*COS(2*R203-Q203+P203) -10445*COS(2*R203+2*P203) -11650*COS(4*R203) +14403*COS(2*R203-3*P203) -(1-0.002516*L203)*7003*COS(Q203-2*P203)  + (1 - 0.002516*L203)*10056*COS(2*R203-Q203-2*P203) +6322*COS(R203+P203) -(1 - 0.002516*L203)*(1-0.002516*L203)*9884*COS(2*R203-2*Q203) +(1-0.002516*L203)*5751*COS(Q203+2*P203) - (1-0.002516*L203)^2*4950*COS(2*R203-2*Q203-P203)  +4130*COS(2*R203+P203-2*S203) -(1-0.002516*L203)*3958*COS(4*R203-Q203-P203) +3258*COS(3*R203-P203) +(1 - 0.002516*L203)*2616*COS(2*R203+Q203+P203) -(1 - 0.002516*L203)*1897*COS(4*R203-Q203-2*P203)  -(1-0.002516*L203)^2*2117*COS(2*Q203-P203) +(1-0.002516*L203)^2*2354*COS(2*R203+2*Q203-P203) -1423*COS(4*R203+P203) -1117*COS(4*P203) -(1-0.002516*L203)*1571*COS(4*R203-Q203)  -1739*COS(R203-2*P203) -4421*COS(2*P203-2*S203) +(1-0.002516*L203)^2*1165*COS(2*Q203+P203) +8752*COS(2*R203-P203-2*S203))/1000</f>
        <v>392465.58924711</v>
      </c>
      <c r="AV203" s="54" t="n">
        <f aca="false">ATAN(0.99664719*TAN($A$10*input!$E$2))</f>
        <v>0.871010436227447</v>
      </c>
      <c r="AW203" s="54" t="n">
        <f aca="false">COS(AV203)</f>
        <v>0.644053912545845</v>
      </c>
      <c r="AX203" s="54" t="n">
        <f aca="false">0.99664719*SIN(AV203)</f>
        <v>0.762415269897027</v>
      </c>
      <c r="AY203" s="54" t="n">
        <f aca="false">6378.14/AU203</f>
        <v>0.0162514629938272</v>
      </c>
      <c r="AZ203" s="55" t="n">
        <f aca="false">M203-15*AH203</f>
        <v>282.499199214587</v>
      </c>
      <c r="BA203" s="56" t="n">
        <f aca="false">COS($A$10*AG203)*SIN($A$10*AZ203)</f>
        <v>-0.958105155413982</v>
      </c>
      <c r="BB203" s="56" t="n">
        <f aca="false">COS($A$10*AG203)*COS($A$10*AZ203)-AW203*AY203</f>
        <v>0.201925931980033</v>
      </c>
      <c r="BC203" s="56" t="n">
        <f aca="false">SIN($A$10*AG203)-AX203*AY203</f>
        <v>0.179765382626737</v>
      </c>
      <c r="BD203" s="57" t="n">
        <f aca="false">SQRT(BA203^2+BB203^2+BC203^2)</f>
        <v>0.995517535570215</v>
      </c>
      <c r="BE203" s="58" t="n">
        <f aca="false">AU203*BD203</f>
        <v>390706.376203395</v>
      </c>
    </row>
    <row r="204" customFormat="false" ht="15" hidden="false" customHeight="false" outlineLevel="0" collapsed="false">
      <c r="D204" s="41" t="n">
        <f aca="false">K204-INT(275*E204/9)+IF($A$8="common year",2,1)*INT((E204+9)/12)+30</f>
        <v>22</v>
      </c>
      <c r="E204" s="41" t="n">
        <f aca="false">IF(K204&lt;32,1,INT(9*(IF($A$8="common year",2,1)+K204)/275+0.98))</f>
        <v>7</v>
      </c>
      <c r="F204" s="42" t="n">
        <f aca="false">AM204</f>
        <v>12.4315918520139</v>
      </c>
      <c r="G204" s="60" t="n">
        <f aca="false">F204+1.02/(TAN($A$10*(F204+10.3/(F204+5.11)))*60)</f>
        <v>12.505117054762</v>
      </c>
      <c r="H204" s="43" t="n">
        <f aca="false">100*(1+COS($A$10*AQ204))/2</f>
        <v>36.2696804459488</v>
      </c>
      <c r="I204" s="43" t="n">
        <f aca="false">IF(AI204&gt;180,AT204-180,AT204+180)</f>
        <v>80.8636282447216</v>
      </c>
      <c r="J204" s="61" t="n">
        <f aca="false">$J$2+K203</f>
        <v>2459782.5</v>
      </c>
      <c r="K204" s="21" t="n">
        <v>203</v>
      </c>
      <c r="L204" s="62" t="n">
        <f aca="false">(J204-2451545)/36525</f>
        <v>0.225530458590007</v>
      </c>
      <c r="M204" s="63" t="n">
        <f aca="false">MOD(280.46061837+360.98564736629*(J204-2451545)+0.000387933*L204^2-L204^3/38710000+$B$7,360)</f>
        <v>314.730817915406</v>
      </c>
      <c r="N204" s="30" t="n">
        <f aca="false">0.606433+1336.855225*L204 - INT(0.606433+1336.855225*L204)</f>
        <v>0.108004962696782</v>
      </c>
      <c r="O204" s="35" t="n">
        <f aca="false">22640*SIN(P204)-4586*SIN(P204-2*R204)+2370*SIN(2*R204)+769*SIN(2*P204)-668*SIN(Q204)-412*SIN(2*S204)-212*SIN(2*P204-2*R204)-206*SIN(P204+Q204-2*R204)+192*SIN(P204+2*R204)-165*SIN(Q204-2*R204)-125*SIN(R204)-110*SIN(P204+Q204)+148*SIN(P204-Q204)-55*SIN(2*S204-2*R204)</f>
        <v>23073.1241307779</v>
      </c>
      <c r="P204" s="32" t="n">
        <f aca="false">2*PI()*(0.374897+1325.55241*L204 - INT(0.374897+1325.55241*L204))</f>
        <v>2.05673732797455</v>
      </c>
      <c r="Q204" s="36" t="n">
        <f aca="false">2*PI()*(0.993133+99.997361*L204 - INT(0.993133+99.997361*L204))</f>
        <v>3.42800338790262</v>
      </c>
      <c r="R204" s="36" t="n">
        <f aca="false">2*PI()*(0.827361+1236.853086*L204 - INT(0.827361+1236.853086*L204))</f>
        <v>4.87201138074266</v>
      </c>
      <c r="S204" s="36" t="n">
        <f aca="false">2*PI()*(0.259086+1342.227825*L204 - INT(0.259086+1342.227825*L204))</f>
        <v>6.10941065120444</v>
      </c>
      <c r="T204" s="36" t="n">
        <f aca="false">S204+(O204+412*SIN(2*S204)+541*SIN(Q204))/206264.8062</f>
        <v>6.21985101713928</v>
      </c>
      <c r="U204" s="36" t="n">
        <f aca="false">S204-2*R204</f>
        <v>-3.63461211028088</v>
      </c>
      <c r="V204" s="34" t="n">
        <f aca="false">-526*SIN(U204)+44*SIN(P204+U204)-31*SIN(-P204+U204)-23*SIN(Q204+U204)+11*SIN(-Q204+U204)-25*SIN(-2*P204+S204)+21*SIN(-P204+S204)</f>
        <v>-352.624166177433</v>
      </c>
      <c r="W204" s="36" t="n">
        <f aca="false">2*PI()*(N204+O204/1296000-INT(N204+O204/1296000))</f>
        <v>0.790476857164297</v>
      </c>
      <c r="X204" s="35" t="n">
        <f aca="false">W204*180/PI()</f>
        <v>45.2909877182798</v>
      </c>
      <c r="Y204" s="36" t="n">
        <f aca="false">(18520*SIN(T204)+V204)/206264.8062</f>
        <v>-0.00739239640481284</v>
      </c>
      <c r="Z204" s="36" t="n">
        <f aca="false">Y204*180/PI()</f>
        <v>-0.423553114483459</v>
      </c>
      <c r="AA204" s="36" t="n">
        <f aca="false">COS(Y204)*COS(W204)</f>
        <v>0.70348727623647</v>
      </c>
      <c r="AB204" s="36" t="n">
        <f aca="false">COS(Y204)*SIN(W204)</f>
        <v>0.710669406717519</v>
      </c>
      <c r="AC204" s="36" t="n">
        <f aca="false">SIN(Y204)</f>
        <v>-0.00739232907563607</v>
      </c>
      <c r="AD204" s="36" t="n">
        <f aca="false">COS($A$10*(23.4393-46.815*L204/3600))*AB204-SIN($A$10*(23.4393-46.815*L204/3600))*AC204</f>
        <v>0.654981011665771</v>
      </c>
      <c r="AE204" s="36" t="n">
        <f aca="false">SIN($A$10*(23.4393-46.815*L204/3600))*AB204+COS($A$10*(23.4393-46.815*L204/3600))*AC204</f>
        <v>0.275872301129844</v>
      </c>
      <c r="AF204" s="36" t="n">
        <f aca="false">SQRT(1-AE204*AE204)</f>
        <v>0.9611942953791</v>
      </c>
      <c r="AG204" s="35" t="n">
        <f aca="false">ATAN(AE204/AF204)/$A$10</f>
        <v>16.0140043515546</v>
      </c>
      <c r="AH204" s="36" t="n">
        <f aca="false">IF(24*ATAN(AD204/(AA204+AF204))/PI()&gt;0,24*ATAN(AD204/(AA204+AF204))/PI(),24*ATAN(AD204/(AA204+AF204))/PI()+24)</f>
        <v>2.8636688078627</v>
      </c>
      <c r="AI204" s="63" t="n">
        <f aca="false">IF(M204-15*AH204&gt;0,M204-15*AH204,360+M204-15*AH204)</f>
        <v>271.775785797466</v>
      </c>
      <c r="AJ204" s="32" t="n">
        <f aca="false">0.950724+0.051818*COS(P204)+0.009531*COS(2*R204-P204)+0.007843*COS(2*R204)+0.002824*COS(2*P204)+0.000857*COS(2*R204+P204)+0.000533*COS(2*R204-Q204)*(1-0.002495*(J204-2415020)/36525)+0.000401*COS(2*R204-Q204-P204)*(1-0.002495*(J204-2415020)/36525)+0.00032*COS(P204-Q204)*(1-0.002495*(J204-2415020)/36525)-0.000271*COS(R204)</f>
        <v>0.920059688025101</v>
      </c>
      <c r="AK204" s="36" t="n">
        <f aca="false">ASIN(COS($A$10*$B$5)*COS($A$10*AG204)*COS($A$10*AI204)+SIN($A$10*$B$5)*SIN($A$10*AG204))/$A$10</f>
        <v>13.3251210796244</v>
      </c>
      <c r="AL204" s="32" t="n">
        <f aca="false">ASIN((0.9983271+0.0016764*COS($A$10*2*$B$5))*COS($A$10*AK204)*SIN($A$10*AJ204))/$A$10</f>
        <v>0.893529227610439</v>
      </c>
      <c r="AM204" s="32" t="n">
        <f aca="false">AK204-AL204</f>
        <v>12.4315918520139</v>
      </c>
      <c r="AN204" s="35" t="n">
        <f aca="false"> MOD(280.4664567 + 360007.6982779*L204/10 + 0.03032028*L204^2/100 + L204^3/49931000,360)</f>
        <v>119.736600977092</v>
      </c>
      <c r="AO204" s="32" t="n">
        <f aca="false"> AN204 + (1.9146 - 0.004817*L204 - 0.000014*L204^2)*SIN(Q204)+ (0.019993 - 0.000101*L204)*SIN(2*Q204)+ 0.00029*SIN(3*Q204)</f>
        <v>119.206616871276</v>
      </c>
      <c r="AP204" s="32" t="n">
        <f aca="false">ACOS(COS(W204-$A$10*AO204)*COS(Y204))/$A$10</f>
        <v>73.916080556662</v>
      </c>
      <c r="AQ204" s="34" t="n">
        <f aca="false">180 - AP204 -0.1468*(1-0.0549*SIN(Q204))*SIN($A$10*AP204)/(1-0.0167*SIN($A$10*AO204))</f>
        <v>105.938559021506</v>
      </c>
      <c r="AR204" s="64" t="n">
        <f aca="false">SIN($A$10*AI204)</f>
        <v>-0.999519745844961</v>
      </c>
      <c r="AS204" s="64" t="n">
        <f aca="false">COS($A$10*AI204)*SIN($A$10*$B$5) - TAN($A$10*AG204)*COS($A$10*$B$5)</f>
        <v>-0.1607479714243</v>
      </c>
      <c r="AT204" s="24" t="n">
        <f aca="false">IF(OR(AND(AR204*AS204&gt;0), AND(AR204&lt;0,AS204&gt;0)), MOD(ATAN2(AS204,AR204)/$A$10+360,360),  ATAN2(AS204,AR204)/$A$10)</f>
        <v>260.863628244722</v>
      </c>
      <c r="AU204" s="39" t="n">
        <f aca="false"> 385000.56 + (-20905355*COS(P204) - 3699111*COS(2*R204-P204) - 2955968*COS(2*R204) - 569925*COS(2*P204) + (1-0.002516*L204)*48888*COS(Q204) - 3149*COS(2*S204)  +246158*COS(2*R204-2*P204) -(1 - 0.002516*L204)*152138*COS(2*R204-Q204-P204) -170733*COS(2*R204+P204) -(1 - 0.002516*L204)*204586*COS(2*R204-Q204) -(1 - 0.002516*L204)*129620*COS(Q204-P204)  + 108743*COS(R204) +(1-0.002516*L204)*104755*COS(Q204+P204) +10321*COS(2*R204-2*S204) +79661*COS(P204-2*S204) -34782*COS(4*R204-P204) -23210*COS(3*P204)  -21636*COS(4*R204-2*P204) +(1 - 0.002516*L204)*24208*COS(2*R204+Q204-P204) +(1 - 0.002516*L204)*30824*COS(2*R204+Q204) -8379*COS(R204-P204) -(1 - 0.002516*L204)*16675*COS(R204+Q204)  -(1 - 0.002516*L204)*12831*COS(2*R204-Q204+P204) -10445*COS(2*R204+2*P204) -11650*COS(4*R204) +14403*COS(2*R204-3*P204) -(1-0.002516*L204)*7003*COS(Q204-2*P204)  + (1 - 0.002516*L204)*10056*COS(2*R204-Q204-2*P204) +6322*COS(R204+P204) -(1 - 0.002516*L204)*(1-0.002516*L204)*9884*COS(2*R204-2*Q204) +(1-0.002516*L204)*5751*COS(Q204+2*P204) - (1-0.002516*L204)^2*4950*COS(2*R204-2*Q204-P204)  +4130*COS(2*R204+P204-2*S204) -(1-0.002516*L204)*3958*COS(4*R204-Q204-P204) +3258*COS(3*R204-P204) +(1 - 0.002516*L204)*2616*COS(2*R204+Q204+P204) -(1 - 0.002516*L204)*1897*COS(4*R204-Q204-2*P204)  -(1-0.002516*L204)^2*2117*COS(2*Q204-P204) +(1-0.002516*L204)^2*2354*COS(2*R204+2*Q204-P204) -1423*COS(4*R204+P204) -1117*COS(4*P204) -(1-0.002516*L204)*1571*COS(4*R204-Q204)  -1739*COS(R204-2*P204) -4421*COS(2*P204-2*S204) +(1-0.002516*L204)^2*1165*COS(2*Q204+P204) +8752*COS(2*R204-P204-2*S204))/1000</f>
        <v>397180.882842866</v>
      </c>
      <c r="AV204" s="54" t="n">
        <f aca="false">ATAN(0.99664719*TAN($A$10*input!$E$2))</f>
        <v>0.871010436227447</v>
      </c>
      <c r="AW204" s="54" t="n">
        <f aca="false">COS(AV204)</f>
        <v>0.644053912545845</v>
      </c>
      <c r="AX204" s="54" t="n">
        <f aca="false">0.99664719*SIN(AV204)</f>
        <v>0.762415269897027</v>
      </c>
      <c r="AY204" s="54" t="n">
        <f aca="false">6378.14/AU204</f>
        <v>0.0160585271736841</v>
      </c>
      <c r="AZ204" s="55" t="n">
        <f aca="false">M204-15*AH204</f>
        <v>271.775785797466</v>
      </c>
      <c r="BA204" s="56" t="n">
        <f aca="false">COS($A$10*AG204)*SIN($A$10*AZ204)</f>
        <v>-0.960732677824944</v>
      </c>
      <c r="BB204" s="56" t="n">
        <f aca="false">COS($A$10*AG204)*COS($A$10*AZ204)-AW204*AY204</f>
        <v>0.0194432653554478</v>
      </c>
      <c r="BC204" s="56" t="n">
        <f aca="false">SIN($A$10*AG204)-AX204*AY204</f>
        <v>0.263629034800571</v>
      </c>
      <c r="BD204" s="57" t="n">
        <f aca="false">SQRT(BA204^2+BB204^2+BC204^2)</f>
        <v>0.996436443933205</v>
      </c>
      <c r="BE204" s="58" t="n">
        <f aca="false">AU204*BD204</f>
        <v>395765.506498196</v>
      </c>
    </row>
    <row r="205" customFormat="false" ht="15" hidden="false" customHeight="false" outlineLevel="0" collapsed="false">
      <c r="D205" s="41" t="n">
        <f aca="false">K205-INT(275*E205/9)+IF($A$8="common year",2,1)*INT((E205+9)/12)+30</f>
        <v>23</v>
      </c>
      <c r="E205" s="41" t="n">
        <f aca="false">IF(K205&lt;32,1,INT(9*(IF($A$8="common year",2,1)+K205)/275+0.98))</f>
        <v>7</v>
      </c>
      <c r="F205" s="42" t="n">
        <f aca="false">AM205</f>
        <v>8.75927757804941</v>
      </c>
      <c r="G205" s="60" t="n">
        <f aca="false">F205+1.02/(TAN($A$10*(F205+10.3/(F205+5.11)))*60)</f>
        <v>8.8608445961852</v>
      </c>
      <c r="H205" s="43" t="n">
        <f aca="false">100*(1+COS($A$10*AQ205))/2</f>
        <v>27.2271344028302</v>
      </c>
      <c r="I205" s="43" t="n">
        <f aca="false">IF(AI205&gt;180,AT205-180,AT205+180)</f>
        <v>69.9819837453262</v>
      </c>
      <c r="J205" s="61" t="n">
        <f aca="false">$J$2+K204</f>
        <v>2459783.5</v>
      </c>
      <c r="K205" s="21" t="n">
        <v>204</v>
      </c>
      <c r="L205" s="62" t="n">
        <f aca="false">(J205-2451545)/36525</f>
        <v>0.225557837097878</v>
      </c>
      <c r="M205" s="63" t="n">
        <f aca="false">MOD(280.46061837+360.98564736629*(J205-2451545)+0.000387933*L205^2-L205^3/38710000+$B$7,360)</f>
        <v>315.716465286445</v>
      </c>
      <c r="N205" s="30" t="n">
        <f aca="false">0.606433+1336.855225*L205 - INT(0.606433+1336.855225*L205)</f>
        <v>0.14460606399723</v>
      </c>
      <c r="O205" s="35" t="n">
        <f aca="false">22640*SIN(P205)-4586*SIN(P205-2*R205)+2370*SIN(2*R205)+769*SIN(2*P205)-668*SIN(Q205)-412*SIN(2*S205)-212*SIN(2*P205-2*R205)-206*SIN(P205+Q205-2*R205)+192*SIN(P205+2*R205)-165*SIN(Q205-2*R205)-125*SIN(R205)-110*SIN(P205+Q205)+148*SIN(P205-Q205)-55*SIN(2*S205-2*R205)</f>
        <v>19202.4778221547</v>
      </c>
      <c r="P205" s="32" t="n">
        <f aca="false">2*PI()*(0.374897+1325.55241*L205 - INT(0.374897+1325.55241*L205))</f>
        <v>2.28476447175001</v>
      </c>
      <c r="Q205" s="36" t="n">
        <f aca="false">2*PI()*(0.993133+99.997361*L205 - INT(0.993133+99.997361*L205))</f>
        <v>3.4452053577696</v>
      </c>
      <c r="R205" s="36" t="n">
        <f aca="false">2*PI()*(0.827361+1236.853086*L205 - INT(0.827361+1236.853086*L205))</f>
        <v>5.08478009086168</v>
      </c>
      <c r="S205" s="36" t="n">
        <f aca="false">2*PI()*(0.259086+1342.227825*L205 - INT(0.259086+1342.227825*L205))</f>
        <v>0.0571210633658535</v>
      </c>
      <c r="T205" s="36" t="n">
        <f aca="false">S205+(O205+412*SIN(2*S205)+541*SIN(Q205))/206264.8062</f>
        <v>0.149660847785561</v>
      </c>
      <c r="U205" s="36" t="n">
        <f aca="false">S205-2*R205</f>
        <v>-10.1124391183575</v>
      </c>
      <c r="V205" s="34" t="n">
        <f aca="false">-526*SIN(U205)+44*SIN(P205+U205)-31*SIN(-P205+U205)-23*SIN(Q205+U205)+11*SIN(-Q205+U205)-25*SIN(-2*P205+S205)+21*SIN(-P205+S205)</f>
        <v>-424.791310700633</v>
      </c>
      <c r="W205" s="36" t="n">
        <f aca="false">2*PI()*(N205+O205/1296000-INT(N205+O205/1296000))</f>
        <v>1.0016829362303</v>
      </c>
      <c r="X205" s="35" t="n">
        <f aca="false">W205*180/PI()</f>
        <v>57.3922046562681</v>
      </c>
      <c r="Y205" s="36" t="n">
        <f aca="false">(18520*SIN(T205)+V205)/206264.8062</f>
        <v>0.011328118536875</v>
      </c>
      <c r="Z205" s="36" t="n">
        <f aca="false">Y205*180/PI()</f>
        <v>0.649053381986852</v>
      </c>
      <c r="AA205" s="36" t="n">
        <f aca="false">COS(Y205)*COS(W205)</f>
        <v>0.53885082318078</v>
      </c>
      <c r="AB205" s="36" t="n">
        <f aca="false">COS(Y205)*SIN(W205)</f>
        <v>0.84232503796155</v>
      </c>
      <c r="AC205" s="36" t="n">
        <f aca="false">SIN(Y205)</f>
        <v>0.0113278762558974</v>
      </c>
      <c r="AD205" s="36" t="n">
        <f aca="false">COS($A$10*(23.4393-46.815*L205/3600))*AB205-SIN($A$10*(23.4393-46.815*L205/3600))*AC205</f>
        <v>0.768329772724035</v>
      </c>
      <c r="AE205" s="36" t="n">
        <f aca="false">SIN($A$10*(23.4393-46.815*L205/3600))*AB205+COS($A$10*(23.4393-46.815*L205/3600))*AC205</f>
        <v>0.345411567124248</v>
      </c>
      <c r="AF205" s="36" t="n">
        <f aca="false">SQRT(1-AE205*AE205)</f>
        <v>0.938451303636353</v>
      </c>
      <c r="AG205" s="35" t="n">
        <f aca="false">ATAN(AE205/AF205)/$A$10</f>
        <v>20.206921372185</v>
      </c>
      <c r="AH205" s="36" t="n">
        <f aca="false">IF(24*ATAN(AD205/(AA205+AF205))/PI()&gt;0,24*ATAN(AD205/(AA205+AF205))/PI(),24*ATAN(AD205/(AA205+AF205))/PI()+24)</f>
        <v>3.66379755517146</v>
      </c>
      <c r="AI205" s="63" t="n">
        <f aca="false">IF(M205-15*AH205&gt;0,M205-15*AH205,360+M205-15*AH205)</f>
        <v>260.759501958873</v>
      </c>
      <c r="AJ205" s="32" t="n">
        <f aca="false">0.950724+0.051818*COS(P205)+0.009531*COS(2*R205-P205)+0.007843*COS(2*R205)+0.002824*COS(2*P205)+0.000857*COS(2*R205+P205)+0.000533*COS(2*R205-Q205)*(1-0.002495*(J205-2415020)/36525)+0.000401*COS(2*R205-Q205-P205)*(1-0.002495*(J205-2415020)/36525)+0.00032*COS(P205-Q205)*(1-0.002495*(J205-2415020)/36525)-0.000271*COS(R205)</f>
        <v>0.911582524330241</v>
      </c>
      <c r="AK205" s="36" t="n">
        <f aca="false">ASIN(COS($A$10*$B$5)*COS($A$10*AG205)*COS($A$10*AI205)+SIN($A$10*$B$5)*SIN($A$10*AG205))/$A$10</f>
        <v>9.65617864812834</v>
      </c>
      <c r="AL205" s="32" t="n">
        <f aca="false">ASIN((0.9983271+0.0016764*COS($A$10*2*$B$5))*COS($A$10*AK205)*SIN($A$10*AJ205))/$A$10</f>
        <v>0.896901070078926</v>
      </c>
      <c r="AM205" s="32" t="n">
        <f aca="false">AK205-AL205</f>
        <v>8.75927757804941</v>
      </c>
      <c r="AN205" s="35" t="n">
        <f aca="false"> MOD(280.4664567 + 360007.6982779*L205/10 + 0.03032028*L205^2/100 + L205^3/49931000,360)</f>
        <v>120.722248340942</v>
      </c>
      <c r="AO205" s="32" t="n">
        <f aca="false"> AN205 + (1.9146 - 0.004817*L205 - 0.000014*L205^2)*SIN(Q205)+ (0.019993 - 0.000101*L205)*SIN(2*Q205)+ 0.00029*SIN(3*Q205)</f>
        <v>120.161331879139</v>
      </c>
      <c r="AP205" s="32" t="n">
        <f aca="false">ACOS(COS(W205-$A$10*AO205)*COS(Y205))/$A$10</f>
        <v>62.7710190410104</v>
      </c>
      <c r="AQ205" s="34" t="n">
        <f aca="false">180 - AP205 -0.1468*(1-0.0549*SIN(Q205))*SIN($A$10*AP205)/(1-0.0167*SIN($A$10*AO205))</f>
        <v>117.094362343407</v>
      </c>
      <c r="AR205" s="64" t="n">
        <f aca="false">SIN($A$10*AI205)</f>
        <v>-0.987023010609662</v>
      </c>
      <c r="AS205" s="64" t="n">
        <f aca="false">COS($A$10*AI205)*SIN($A$10*$B$5) - TAN($A$10*AG205)*COS($A$10*$B$5)</f>
        <v>-0.359598514136452</v>
      </c>
      <c r="AT205" s="24" t="n">
        <f aca="false">IF(OR(AND(AR205*AS205&gt;0), AND(AR205&lt;0,AS205&gt;0)), MOD(ATAN2(AS205,AR205)/$A$10+360,360),  ATAN2(AS205,AR205)/$A$10)</f>
        <v>249.981983745326</v>
      </c>
      <c r="AU205" s="39" t="n">
        <f aca="false"> 385000.56 + (-20905355*COS(P205) - 3699111*COS(2*R205-P205) - 2955968*COS(2*R205) - 569925*COS(2*P205) + (1-0.002516*L205)*48888*COS(Q205) - 3149*COS(2*S205)  +246158*COS(2*R205-2*P205) -(1 - 0.002516*L205)*152138*COS(2*R205-Q205-P205) -170733*COS(2*R205+P205) -(1 - 0.002516*L205)*204586*COS(2*R205-Q205) -(1 - 0.002516*L205)*129620*COS(Q205-P205)  + 108743*COS(R205) +(1-0.002516*L205)*104755*COS(Q205+P205) +10321*COS(2*R205-2*S205) +79661*COS(P205-2*S205) -34782*COS(4*R205-P205) -23210*COS(3*P205)  -21636*COS(4*R205-2*P205) +(1 - 0.002516*L205)*24208*COS(2*R205+Q205-P205) +(1 - 0.002516*L205)*30824*COS(2*R205+Q205) -8379*COS(R205-P205) -(1 - 0.002516*L205)*16675*COS(R205+Q205)  -(1 - 0.002516*L205)*12831*COS(2*R205-Q205+P205) -10445*COS(2*R205+2*P205) -11650*COS(4*R205) +14403*COS(2*R205-3*P205) -(1-0.002516*L205)*7003*COS(Q205-2*P205)  + (1 - 0.002516*L205)*10056*COS(2*R205-Q205-2*P205) +6322*COS(R205+P205) -(1 - 0.002516*L205)*(1-0.002516*L205)*9884*COS(2*R205-2*Q205) +(1-0.002516*L205)*5751*COS(Q205+2*P205) - (1-0.002516*L205)^2*4950*COS(2*R205-2*Q205-P205)  +4130*COS(2*R205+P205-2*S205) -(1-0.002516*L205)*3958*COS(4*R205-Q205-P205) +3258*COS(3*R205-P205) +(1 - 0.002516*L205)*2616*COS(2*R205+Q205+P205) -(1 - 0.002516*L205)*1897*COS(4*R205-Q205-2*P205)  -(1-0.002516*L205)^2*2117*COS(2*Q205-P205) +(1-0.002516*L205)^2*2354*COS(2*R205+2*Q205-P205) -1423*COS(4*R205+P205) -1117*COS(4*P205) -(1-0.002516*L205)*1571*COS(4*R205-Q205)  -1739*COS(R205-2*P205) -4421*COS(2*P205-2*S205) +(1-0.002516*L205)^2*1165*COS(2*Q205+P205) +8752*COS(2*R205-P205-2*S205))/1000</f>
        <v>400937.530658222</v>
      </c>
      <c r="AV205" s="54" t="n">
        <f aca="false">ATAN(0.99664719*TAN($A$10*input!$E$2))</f>
        <v>0.871010436227447</v>
      </c>
      <c r="AW205" s="54" t="n">
        <f aca="false">COS(AV205)</f>
        <v>0.644053912545845</v>
      </c>
      <c r="AX205" s="54" t="n">
        <f aca="false">0.99664719*SIN(AV205)</f>
        <v>0.762415269897027</v>
      </c>
      <c r="AY205" s="54" t="n">
        <f aca="false">6378.14/AU205</f>
        <v>0.0159080642551196</v>
      </c>
      <c r="AZ205" s="55" t="n">
        <f aca="false">M205-15*AH205</f>
        <v>260.759501958873</v>
      </c>
      <c r="BA205" s="56" t="n">
        <f aca="false">COS($A$10*AG205)*SIN($A$10*AZ205)</f>
        <v>-0.926273031025715</v>
      </c>
      <c r="BB205" s="56" t="n">
        <f aca="false">COS($A$10*AG205)*COS($A$10*AZ205)-AW205*AY205</f>
        <v>-0.160941109785597</v>
      </c>
      <c r="BC205" s="56" t="n">
        <f aca="false">SIN($A$10*AG205)-AX205*AY205</f>
        <v>0.333283016021642</v>
      </c>
      <c r="BD205" s="57" t="n">
        <f aca="false">SQRT(BA205^2+BB205^2+BC205^2)</f>
        <v>0.997477487261275</v>
      </c>
      <c r="BE205" s="58" t="n">
        <f aca="false">AU205*BD205</f>
        <v>399926.160629704</v>
      </c>
    </row>
    <row r="206" customFormat="false" ht="15" hidden="false" customHeight="false" outlineLevel="0" collapsed="false">
      <c r="D206" s="41" t="n">
        <f aca="false">K206-INT(275*E206/9)+IF($A$8="common year",2,1)*INT((E206+9)/12)+30</f>
        <v>24</v>
      </c>
      <c r="E206" s="41" t="n">
        <f aca="false">IF(K206&lt;32,1,INT(9*(IF($A$8="common year",2,1)+K206)/275+0.98))</f>
        <v>7</v>
      </c>
      <c r="F206" s="42" t="n">
        <f aca="false">AM206</f>
        <v>4.69569359048037</v>
      </c>
      <c r="G206" s="60" t="n">
        <f aca="false">F206+1.02/(TAN($A$10*(F206+10.3/(F206+5.11)))*60)</f>
        <v>4.8646359883393</v>
      </c>
      <c r="H206" s="43" t="n">
        <f aca="false">100*(1+COS($A$10*AQ206))/2</f>
        <v>19.1694293808945</v>
      </c>
      <c r="I206" s="43" t="n">
        <f aca="false">IF(AI206&gt;180,AT206-180,AT206+180)</f>
        <v>59.5597526493746</v>
      </c>
      <c r="J206" s="61" t="n">
        <f aca="false">$J$2+K205</f>
        <v>2459784.5</v>
      </c>
      <c r="K206" s="21" t="n">
        <v>205</v>
      </c>
      <c r="L206" s="62" t="n">
        <f aca="false">(J206-2451545)/36525</f>
        <v>0.225585215605749</v>
      </c>
      <c r="M206" s="63" t="n">
        <f aca="false">MOD(280.46061837+360.98564736629*(J206-2451545)+0.000387933*L206^2-L206^3/38710000+$B$7,360)</f>
        <v>316.702112657484</v>
      </c>
      <c r="N206" s="30" t="n">
        <f aca="false">0.606433+1336.855225*L206 - INT(0.606433+1336.855225*L206)</f>
        <v>0.181207165297735</v>
      </c>
      <c r="O206" s="35" t="n">
        <f aca="false">22640*SIN(P206)-4586*SIN(P206-2*R206)+2370*SIN(2*R206)+769*SIN(2*P206)-668*SIN(Q206)-412*SIN(2*S206)-212*SIN(2*P206-2*R206)-206*SIN(P206+Q206-2*R206)+192*SIN(P206+2*R206)-165*SIN(Q206-2*R206)-125*SIN(R206)-110*SIN(P206+Q206)+148*SIN(P206-Q206)-55*SIN(2*S206-2*R206)</f>
        <v>14720.8124013198</v>
      </c>
      <c r="P206" s="32" t="n">
        <f aca="false">2*PI()*(0.374897+1325.55241*L206 - INT(0.374897+1325.55241*L206))</f>
        <v>2.51279161552582</v>
      </c>
      <c r="Q206" s="36" t="n">
        <f aca="false">2*PI()*(0.993133+99.997361*L206 - INT(0.993133+99.997361*L206))</f>
        <v>3.46240732763661</v>
      </c>
      <c r="R206" s="36" t="n">
        <f aca="false">2*PI()*(0.827361+1236.853086*L206 - INT(0.827361+1236.853086*L206))</f>
        <v>5.29754880098071</v>
      </c>
      <c r="S206" s="36" t="n">
        <f aca="false">2*PI()*(0.259086+1342.227825*L206 - INT(0.259086+1342.227825*L206))</f>
        <v>0.288016782706858</v>
      </c>
      <c r="T206" s="36" t="n">
        <f aca="false">S206+(O206+412*SIN(2*S206)+541*SIN(Q206))/206264.8062</f>
        <v>0.359646213933597</v>
      </c>
      <c r="U206" s="36" t="n">
        <f aca="false">S206-2*R206</f>
        <v>-10.3070808192546</v>
      </c>
      <c r="V206" s="34" t="n">
        <f aca="false">-526*SIN(U206)+44*SIN(P206+U206)-31*SIN(-P206+U206)-23*SIN(Q206+U206)+11*SIN(-Q206+U206)-25*SIN(-2*P206+S206)+21*SIN(-P206+S206)</f>
        <v>-482.004013130524</v>
      </c>
      <c r="W206" s="36" t="n">
        <f aca="false">2*PI()*(N206+O206/1296000-INT(N206+O206/1296000))</f>
        <v>1.20992671104646</v>
      </c>
      <c r="X206" s="35" t="n">
        <f aca="false">W206*180/PI()</f>
        <v>69.3236940631068</v>
      </c>
      <c r="Y206" s="36" t="n">
        <f aca="false">(18520*SIN(T206)+V206)/206264.8062</f>
        <v>0.0292632678534968</v>
      </c>
      <c r="Z206" s="36" t="n">
        <f aca="false">Y206*180/PI()</f>
        <v>1.67666174276622</v>
      </c>
      <c r="AA206" s="36" t="n">
        <f aca="false">COS(Y206)*COS(W206)</f>
        <v>0.352936799904555</v>
      </c>
      <c r="AB206" s="36" t="n">
        <f aca="false">COS(Y206)*SIN(W206)</f>
        <v>0.935189564119755</v>
      </c>
      <c r="AC206" s="36" t="n">
        <f aca="false">SIN(Y206)</f>
        <v>0.0292590914868187</v>
      </c>
      <c r="AD206" s="36" t="n">
        <f aca="false">COS($A$10*(23.4393-46.815*L206/3600))*AB206-SIN($A$10*(23.4393-46.815*L206/3600))*AC206</f>
        <v>0.846401409261848</v>
      </c>
      <c r="AE206" s="36" t="n">
        <f aca="false">SIN($A$10*(23.4393-46.815*L206/3600))*AB206+COS($A$10*(23.4393-46.815*L206/3600))*AC206</f>
        <v>0.398798532686229</v>
      </c>
      <c r="AF206" s="36" t="n">
        <f aca="false">SQRT(1-AE206*AE206)</f>
        <v>0.917038565343525</v>
      </c>
      <c r="AG206" s="35" t="n">
        <f aca="false">ATAN(AE206/AF206)/$A$10</f>
        <v>23.5030904169286</v>
      </c>
      <c r="AH206" s="36" t="n">
        <f aca="false">IF(24*ATAN(AD206/(AA206+AF206))/PI()&gt;0,24*ATAN(AD206/(AA206+AF206))/PI(),24*ATAN(AD206/(AA206+AF206))/PI()+24)</f>
        <v>4.49097263393127</v>
      </c>
      <c r="AI206" s="63" t="n">
        <f aca="false">IF(M206-15*AH206&gt;0,M206-15*AH206,360+M206-15*AH206)</f>
        <v>249.337523148515</v>
      </c>
      <c r="AJ206" s="32" t="n">
        <f aca="false">0.950724+0.051818*COS(P206)+0.009531*COS(2*R206-P206)+0.007843*COS(2*R206)+0.002824*COS(2*P206)+0.000857*COS(2*R206+P206)+0.000533*COS(2*R206-Q206)*(1-0.002495*(J206-2415020)/36525)+0.000401*COS(2*R206-Q206-P206)*(1-0.002495*(J206-2415020)/36525)+0.00032*COS(P206-Q206)*(1-0.002495*(J206-2415020)/36525)-0.000271*COS(R206)</f>
        <v>0.905556522010674</v>
      </c>
      <c r="AK206" s="36" t="n">
        <f aca="false">ASIN(COS($A$10*$B$5)*COS($A$10*AG206)*COS($A$10*AI206)+SIN($A$10*$B$5)*SIN($A$10*AG206))/$A$10</f>
        <v>5.5951651624162</v>
      </c>
      <c r="AL206" s="32" t="n">
        <f aca="false">ASIN((0.9983271+0.0016764*COS($A$10*2*$B$5))*COS($A$10*AK206)*SIN($A$10*AJ206))/$A$10</f>
        <v>0.899471571935821</v>
      </c>
      <c r="AM206" s="32" t="n">
        <f aca="false">AK206-AL206</f>
        <v>4.69569359048037</v>
      </c>
      <c r="AN206" s="35" t="n">
        <f aca="false"> MOD(280.4664567 + 360007.6982779*L206/10 + 0.03032028*L206^2/100 + L206^3/49931000,360)</f>
        <v>121.707895704791</v>
      </c>
      <c r="AO206" s="32" t="n">
        <f aca="false"> AN206 + (1.9146 - 0.004817*L206 - 0.000014*L206^2)*SIN(Q206)+ (0.019993 - 0.000101*L206)*SIN(2*Q206)+ 0.00029*SIN(3*Q206)</f>
        <v>121.116203294636</v>
      </c>
      <c r="AP206" s="32" t="n">
        <f aca="false">ACOS(COS(W206-$A$10*AO206)*COS(Y206))/$A$10</f>
        <v>51.8118155047334</v>
      </c>
      <c r="AQ206" s="34" t="n">
        <f aca="false">180 - AP206 -0.1468*(1-0.0549*SIN(Q206))*SIN($A$10*AP206)/(1-0.0167*SIN($A$10*AO206))</f>
        <v>128.069101915093</v>
      </c>
      <c r="AR206" s="64" t="n">
        <f aca="false">SIN($A$10*AI206)</f>
        <v>-0.93567532176302</v>
      </c>
      <c r="AS206" s="64" t="n">
        <f aca="false">COS($A$10*AI206)*SIN($A$10*$B$5) - TAN($A$10*AG206)*COS($A$10*$B$5)</f>
        <v>-0.549841317808774</v>
      </c>
      <c r="AT206" s="24" t="n">
        <f aca="false">IF(OR(AND(AR206*AS206&gt;0), AND(AR206&lt;0,AS206&gt;0)), MOD(ATAN2(AS206,AR206)/$A$10+360,360),  ATAN2(AS206,AR206)/$A$10)</f>
        <v>239.559752649375</v>
      </c>
      <c r="AU206" s="39" t="n">
        <f aca="false"> 385000.56 + (-20905355*COS(P206) - 3699111*COS(2*R206-P206) - 2955968*COS(2*R206) - 569925*COS(2*P206) + (1-0.002516*L206)*48888*COS(Q206) - 3149*COS(2*S206)  +246158*COS(2*R206-2*P206) -(1 - 0.002516*L206)*152138*COS(2*R206-Q206-P206) -170733*COS(2*R206+P206) -(1 - 0.002516*L206)*204586*COS(2*R206-Q206) -(1 - 0.002516*L206)*129620*COS(Q206-P206)  + 108743*COS(R206) +(1-0.002516*L206)*104755*COS(Q206+P206) +10321*COS(2*R206-2*S206) +79661*COS(P206-2*S206) -34782*COS(4*R206-P206) -23210*COS(3*P206)  -21636*COS(4*R206-2*P206) +(1 - 0.002516*L206)*24208*COS(2*R206+Q206-P206) +(1 - 0.002516*L206)*30824*COS(2*R206+Q206) -8379*COS(R206-P206) -(1 - 0.002516*L206)*16675*COS(R206+Q206)  -(1 - 0.002516*L206)*12831*COS(2*R206-Q206+P206) -10445*COS(2*R206+2*P206) -11650*COS(4*R206) +14403*COS(2*R206-3*P206) -(1-0.002516*L206)*7003*COS(Q206-2*P206)  + (1 - 0.002516*L206)*10056*COS(2*R206-Q206-2*P206) +6322*COS(R206+P206) -(1 - 0.002516*L206)*(1-0.002516*L206)*9884*COS(2*R206-2*Q206) +(1-0.002516*L206)*5751*COS(Q206+2*P206) - (1-0.002516*L206)^2*4950*COS(2*R206-2*Q206-P206)  +4130*COS(2*R206+P206-2*S206) -(1-0.002516*L206)*3958*COS(4*R206-Q206-P206) +3258*COS(3*R206-P206) +(1 - 0.002516*L206)*2616*COS(2*R206+Q206+P206) -(1 - 0.002516*L206)*1897*COS(4*R206-Q206-2*P206)  -(1-0.002516*L206)^2*2117*COS(2*Q206-P206) +(1-0.002516*L206)^2*2354*COS(2*R206+2*Q206-P206) -1423*COS(4*R206+P206) -1117*COS(4*P206) -(1-0.002516*L206)*1571*COS(4*R206-Q206)  -1739*COS(R206-2*P206) -4421*COS(2*P206-2*S206) +(1-0.002516*L206)^2*1165*COS(2*Q206+P206) +8752*COS(2*R206-P206-2*S206))/1000</f>
        <v>403673.983843683</v>
      </c>
      <c r="AV206" s="54" t="n">
        <f aca="false">ATAN(0.99664719*TAN($A$10*input!$E$2))</f>
        <v>0.871010436227447</v>
      </c>
      <c r="AW206" s="54" t="n">
        <f aca="false">COS(AV206)</f>
        <v>0.644053912545845</v>
      </c>
      <c r="AX206" s="54" t="n">
        <f aca="false">0.99664719*SIN(AV206)</f>
        <v>0.762415269897027</v>
      </c>
      <c r="AY206" s="54" t="n">
        <f aca="false">6378.14/AU206</f>
        <v>0.0158002255663567</v>
      </c>
      <c r="AZ206" s="55" t="n">
        <f aca="false">M206-15*AH206</f>
        <v>249.337523148515</v>
      </c>
      <c r="BA206" s="56" t="n">
        <f aca="false">COS($A$10*AG206)*SIN($A$10*AZ206)</f>
        <v>-0.858050354696901</v>
      </c>
      <c r="BB206" s="56" t="n">
        <f aca="false">COS($A$10*AG206)*COS($A$10*AZ206)-AW206*AY206</f>
        <v>-0.333764390841172</v>
      </c>
      <c r="BC206" s="56" t="n">
        <f aca="false">SIN($A$10*AG206)-AX206*AY206</f>
        <v>0.386752199446621</v>
      </c>
      <c r="BD206" s="57" t="n">
        <f aca="false">SQRT(BA206^2+BB206^2+BC206^2)</f>
        <v>0.998612208800721</v>
      </c>
      <c r="BE206" s="58" t="n">
        <f aca="false">AU206*BD206</f>
        <v>403113.768641526</v>
      </c>
    </row>
    <row r="207" customFormat="false" ht="15" hidden="false" customHeight="false" outlineLevel="0" collapsed="false">
      <c r="D207" s="41" t="n">
        <f aca="false">K207-INT(275*E207/9)+IF($A$8="common year",2,1)*INT((E207+9)/12)+30</f>
        <v>25</v>
      </c>
      <c r="E207" s="41" t="n">
        <f aca="false">IF(K207&lt;32,1,INT(9*(IF($A$8="common year",2,1)+K207)/275+0.98))</f>
        <v>7</v>
      </c>
      <c r="F207" s="42" t="n">
        <f aca="false">AM207</f>
        <v>0.350588616931937</v>
      </c>
      <c r="G207" s="60" t="n">
        <f aca="false">F207+1.02/(TAN($A$10*(F207+10.3/(F207+5.11)))*60)</f>
        <v>0.785817228371556</v>
      </c>
      <c r="H207" s="43" t="n">
        <f aca="false">100*(1+COS($A$10*AQ207))/2</f>
        <v>12.3087066815786</v>
      </c>
      <c r="I207" s="43" t="n">
        <f aca="false">IF(AI207&gt;180,AT207-180,AT207+180)</f>
        <v>49.4436892308418</v>
      </c>
      <c r="J207" s="61" t="n">
        <f aca="false">$J$2+K206</f>
        <v>2459785.5</v>
      </c>
      <c r="K207" s="21" t="n">
        <v>206</v>
      </c>
      <c r="L207" s="62" t="n">
        <f aca="false">(J207-2451545)/36525</f>
        <v>0.225612594113621</v>
      </c>
      <c r="M207" s="63" t="n">
        <f aca="false">MOD(280.46061837+360.98564736629*(J207-2451545)+0.000387933*L207^2-L207^3/38710000+$B$7,360)</f>
        <v>317.687760028522</v>
      </c>
      <c r="N207" s="30" t="n">
        <f aca="false">0.606433+1336.855225*L207 - INT(0.606433+1336.855225*L207)</f>
        <v>0.217808266598183</v>
      </c>
      <c r="O207" s="35" t="n">
        <f aca="false">22640*SIN(P207)-4586*SIN(P207-2*R207)+2370*SIN(2*R207)+769*SIN(2*P207)-668*SIN(Q207)-412*SIN(2*S207)-212*SIN(2*P207-2*R207)-206*SIN(P207+Q207-2*R207)+192*SIN(P207+2*R207)-165*SIN(Q207-2*R207)-125*SIN(R207)-110*SIN(P207+Q207)+148*SIN(P207-Q207)-55*SIN(2*S207-2*R207)</f>
        <v>9906.11315214439</v>
      </c>
      <c r="P207" s="32" t="n">
        <f aca="false">2*PI()*(0.374897+1325.55241*L207 - INT(0.374897+1325.55241*L207))</f>
        <v>2.74081875930164</v>
      </c>
      <c r="Q207" s="36" t="n">
        <f aca="false">2*PI()*(0.993133+99.997361*L207 - INT(0.993133+99.997361*L207))</f>
        <v>3.4796092975036</v>
      </c>
      <c r="R207" s="36" t="n">
        <f aca="false">2*PI()*(0.827361+1236.853086*L207 - INT(0.827361+1236.853086*L207))</f>
        <v>5.51031751109973</v>
      </c>
      <c r="S207" s="36" t="n">
        <f aca="false">2*PI()*(0.259086+1342.227825*L207 - INT(0.259086+1342.227825*L207))</f>
        <v>0.518912502047505</v>
      </c>
      <c r="T207" s="36" t="n">
        <f aca="false">S207+(O207+412*SIN(2*S207)+541*SIN(Q207))/206264.8062</f>
        <v>0.56778930670125</v>
      </c>
      <c r="U207" s="36" t="n">
        <f aca="false">S207-2*R207</f>
        <v>-10.501722520152</v>
      </c>
      <c r="V207" s="34" t="n">
        <f aca="false">-526*SIN(U207)+44*SIN(P207+U207)-31*SIN(-P207+U207)-23*SIN(Q207+U207)+11*SIN(-Q207+U207)-25*SIN(-2*P207+S207)+21*SIN(-P207+S207)</f>
        <v>-523.860221245613</v>
      </c>
      <c r="W207" s="36" t="n">
        <f aca="false">2*PI()*(N207+O207/1296000-INT(N207+O207/1296000))</f>
        <v>1.41655589229975</v>
      </c>
      <c r="X207" s="35" t="n">
        <f aca="false">W207*180/PI()</f>
        <v>81.1626740731639</v>
      </c>
      <c r="Y207" s="36" t="n">
        <f aca="false">(18520*SIN(T207)+V207)/206264.8062</f>
        <v>0.0457452338030272</v>
      </c>
      <c r="Z207" s="36" t="n">
        <f aca="false">Y207*180/PI()</f>
        <v>2.62100882975265</v>
      </c>
      <c r="AA207" s="36" t="n">
        <f aca="false">COS(Y207)*COS(W207)</f>
        <v>0.153468878706986</v>
      </c>
      <c r="AB207" s="36" t="n">
        <f aca="false">COS(Y207)*SIN(W207)</f>
        <v>0.987094795924188</v>
      </c>
      <c r="AC207" s="36" t="n">
        <f aca="false">SIN(Y207)</f>
        <v>0.0457292808581883</v>
      </c>
      <c r="AD207" s="36" t="n">
        <f aca="false">COS($A$10*(23.4393-46.815*L207/3600))*AB207-SIN($A$10*(23.4393-46.815*L207/3600))*AC207</f>
        <v>0.887473891186188</v>
      </c>
      <c r="AE207" s="36" t="n">
        <f aca="false">SIN($A$10*(23.4393-46.815*L207/3600))*AB207+COS($A$10*(23.4393-46.815*L207/3600))*AC207</f>
        <v>0.434554249468655</v>
      </c>
      <c r="AF207" s="36" t="n">
        <f aca="false">SQRT(1-AE207*AE207)</f>
        <v>0.900645659662408</v>
      </c>
      <c r="AG207" s="35" t="n">
        <f aca="false">ATAN(AE207/AF207)/$A$10</f>
        <v>25.7569334736994</v>
      </c>
      <c r="AH207" s="36" t="n">
        <f aca="false">IF(24*ATAN(AD207/(AA207+AF207))/PI()&gt;0,24*ATAN(AD207/(AA207+AF207))/PI(),24*ATAN(AD207/(AA207+AF207))/PI()+24)</f>
        <v>5.34593313334521</v>
      </c>
      <c r="AI207" s="63" t="n">
        <f aca="false">IF(M207-15*AH207&gt;0,M207-15*AH207,360+M207-15*AH207)</f>
        <v>237.498763028344</v>
      </c>
      <c r="AJ207" s="32" t="n">
        <f aca="false">0.950724+0.051818*COS(P207)+0.009531*COS(2*R207-P207)+0.007843*COS(2*R207)+0.002824*COS(2*P207)+0.000857*COS(2*R207+P207)+0.000533*COS(2*R207-Q207)*(1-0.002495*(J207-2415020)/36525)+0.000401*COS(2*R207-Q207-P207)*(1-0.002495*(J207-2415020)/36525)+0.00032*COS(P207-Q207)*(1-0.002495*(J207-2415020)/36525)-0.000271*COS(R207)</f>
        <v>0.901790865381368</v>
      </c>
      <c r="AK207" s="36" t="n">
        <f aca="false">ASIN(COS($A$10*$B$5)*COS($A$10*AG207)*COS($A$10*AI207)+SIN($A$10*$B$5)*SIN($A$10*AG207))/$A$10</f>
        <v>1.25039388287935</v>
      </c>
      <c r="AL207" s="32" t="n">
        <f aca="false">ASIN((0.9983271+0.0016764*COS($A$10*2*$B$5))*COS($A$10*AK207)*SIN($A$10*AJ207))/$A$10</f>
        <v>0.899805265947413</v>
      </c>
      <c r="AM207" s="32" t="n">
        <f aca="false">AK207-AL207</f>
        <v>0.350588616931937</v>
      </c>
      <c r="AN207" s="35" t="n">
        <f aca="false"> MOD(280.4664567 + 360007.6982779*L207/10 + 0.03032028*L207^2/100 + L207^3/49931000,360)</f>
        <v>122.693543068641</v>
      </c>
      <c r="AO207" s="32" t="n">
        <f aca="false"> AN207 + (1.9146 - 0.004817*L207 - 0.000014*L207^2)*SIN(Q207)+ (0.019993 - 0.000101*L207)*SIN(2*Q207)+ 0.00029*SIN(3*Q207)</f>
        <v>122.071239750615</v>
      </c>
      <c r="AP207" s="32" t="n">
        <f aca="false">ACOS(COS(W207-$A$10*AO207)*COS(Y207))/$A$10</f>
        <v>40.9776920023082</v>
      </c>
      <c r="AQ207" s="34" t="n">
        <f aca="false">180 - AP207 -0.1468*(1-0.0549*SIN(Q207))*SIN($A$10*AP207)/(1-0.0167*SIN($A$10*AO207))</f>
        <v>138.922882060005</v>
      </c>
      <c r="AR207" s="64" t="n">
        <f aca="false">SIN($A$10*AI207)</f>
        <v>-0.84337984573251</v>
      </c>
      <c r="AS207" s="64" t="n">
        <f aca="false">COS($A$10*AI207)*SIN($A$10*$B$5) - TAN($A$10*AG207)*COS($A$10*$B$5)</f>
        <v>-0.721749152458497</v>
      </c>
      <c r="AT207" s="24" t="n">
        <f aca="false">IF(OR(AND(AR207*AS207&gt;0), AND(AR207&lt;0,AS207&gt;0)), MOD(ATAN2(AS207,AR207)/$A$10+360,360),  ATAN2(AS207,AR207)/$A$10)</f>
        <v>229.443689230842</v>
      </c>
      <c r="AU207" s="39" t="n">
        <f aca="false"> 385000.56 + (-20905355*COS(P207) - 3699111*COS(2*R207-P207) - 2955968*COS(2*R207) - 569925*COS(2*P207) + (1-0.002516*L207)*48888*COS(Q207) - 3149*COS(2*S207)  +246158*COS(2*R207-2*P207) -(1 - 0.002516*L207)*152138*COS(2*R207-Q207-P207) -170733*COS(2*R207+P207) -(1 - 0.002516*L207)*204586*COS(2*R207-Q207) -(1 - 0.002516*L207)*129620*COS(Q207-P207)  + 108743*COS(R207) +(1-0.002516*L207)*104755*COS(Q207+P207) +10321*COS(2*R207-2*S207) +79661*COS(P207-2*S207) -34782*COS(4*R207-P207) -23210*COS(3*P207)  -21636*COS(4*R207-2*P207) +(1 - 0.002516*L207)*24208*COS(2*R207+Q207-P207) +(1 - 0.002516*L207)*30824*COS(2*R207+Q207) -8379*COS(R207-P207) -(1 - 0.002516*L207)*16675*COS(R207+Q207)  -(1 - 0.002516*L207)*12831*COS(2*R207-Q207+P207) -10445*COS(2*R207+2*P207) -11650*COS(4*R207) +14403*COS(2*R207-3*P207) -(1-0.002516*L207)*7003*COS(Q207-2*P207)  + (1 - 0.002516*L207)*10056*COS(2*R207-Q207-2*P207) +6322*COS(R207+P207) -(1 - 0.002516*L207)*(1-0.002516*L207)*9884*COS(2*R207-2*Q207) +(1-0.002516*L207)*5751*COS(Q207+2*P207) - (1-0.002516*L207)^2*4950*COS(2*R207-2*Q207-P207)  +4130*COS(2*R207+P207-2*S207) -(1-0.002516*L207)*3958*COS(4*R207-Q207-P207) +3258*COS(3*R207-P207) +(1 - 0.002516*L207)*2616*COS(2*R207+Q207+P207) -(1 - 0.002516*L207)*1897*COS(4*R207-Q207-2*P207)  -(1-0.002516*L207)^2*2117*COS(2*Q207-P207) +(1-0.002516*L207)^2*2354*COS(2*R207+2*Q207-P207) -1423*COS(4*R207+P207) -1117*COS(4*P207) -(1-0.002516*L207)*1571*COS(4*R207-Q207)  -1739*COS(R207-2*P207) -4421*COS(2*P207-2*S207) +(1-0.002516*L207)^2*1165*COS(2*Q207+P207) +8752*COS(2*R207-P207-2*S207))/1000</f>
        <v>405404.65048378</v>
      </c>
      <c r="AV207" s="54" t="n">
        <f aca="false">ATAN(0.99664719*TAN($A$10*input!$E$2))</f>
        <v>0.871010436227447</v>
      </c>
      <c r="AW207" s="54" t="n">
        <f aca="false">COS(AV207)</f>
        <v>0.644053912545845</v>
      </c>
      <c r="AX207" s="54" t="n">
        <f aca="false">0.99664719*SIN(AV207)</f>
        <v>0.762415269897027</v>
      </c>
      <c r="AY207" s="54" t="n">
        <f aca="false">6378.14/AU207</f>
        <v>0.0157327746299624</v>
      </c>
      <c r="AZ207" s="55" t="n">
        <f aca="false">M207-15*AH207</f>
        <v>237.498763028344</v>
      </c>
      <c r="BA207" s="56" t="n">
        <f aca="false">COS($A$10*AG207)*SIN($A$10*AZ207)</f>
        <v>-0.759586397505736</v>
      </c>
      <c r="BB207" s="56" t="n">
        <f aca="false">COS($A$10*AG207)*COS($A$10*AZ207)-AW207*AY207</f>
        <v>-0.494065714248317</v>
      </c>
      <c r="BC207" s="56" t="n">
        <f aca="false">SIN($A$10*AG207)-AX207*AY207</f>
        <v>0.422559341852923</v>
      </c>
      <c r="BD207" s="57" t="n">
        <f aca="false">SQRT(BA207^2+BB207^2+BC207^2)</f>
        <v>0.999814394104535</v>
      </c>
      <c r="BE207" s="58" t="n">
        <f aca="false">AU207*BD207</f>
        <v>405329.404990601</v>
      </c>
    </row>
    <row r="208" customFormat="false" ht="15" hidden="false" customHeight="false" outlineLevel="0" collapsed="false">
      <c r="D208" s="41" t="n">
        <f aca="false">K208-INT(275*E208/9)+IF($A$8="common year",2,1)*INT((E208+9)/12)+30</f>
        <v>26</v>
      </c>
      <c r="E208" s="41" t="n">
        <f aca="false">IF(K208&lt;32,1,INT(9*(IF($A$8="common year",2,1)+K208)/275+0.98))</f>
        <v>7</v>
      </c>
      <c r="F208" s="42" t="n">
        <f aca="false">AM208</f>
        <v>-4.16923319492528</v>
      </c>
      <c r="G208" s="60" t="n">
        <f aca="false">F208+1.02/(TAN($A$10*(F208+10.3/(F208+5.11)))*60)</f>
        <v>-4.0262271143118</v>
      </c>
      <c r="H208" s="43" t="n">
        <f aca="false">100*(1+COS($A$10*AQ208))/2</f>
        <v>6.83388474548358</v>
      </c>
      <c r="I208" s="43" t="n">
        <f aca="false">IF(AI208&gt;180,AT208-180,AT208+180)</f>
        <v>39.4735295207166</v>
      </c>
      <c r="J208" s="61" t="n">
        <f aca="false">$J$2+K207</f>
        <v>2459786.5</v>
      </c>
      <c r="K208" s="21" t="n">
        <v>207</v>
      </c>
      <c r="L208" s="62" t="n">
        <f aca="false">(J208-2451545)/36525</f>
        <v>0.225639972621492</v>
      </c>
      <c r="M208" s="63" t="n">
        <f aca="false">MOD(280.46061837+360.98564736629*(J208-2451545)+0.000387933*L208^2-L208^3/38710000+$B$7,360)</f>
        <v>318.673407399561</v>
      </c>
      <c r="N208" s="30" t="n">
        <f aca="false">0.606433+1336.855225*L208 - INT(0.606433+1336.855225*L208)</f>
        <v>0.254409367898688</v>
      </c>
      <c r="O208" s="35" t="n">
        <f aca="false">22640*SIN(P208)-4586*SIN(P208-2*R208)+2370*SIN(2*R208)+769*SIN(2*P208)-668*SIN(Q208)-412*SIN(2*S208)-212*SIN(2*P208-2*R208)-206*SIN(P208+Q208-2*R208)+192*SIN(P208+2*R208)-165*SIN(Q208-2*R208)-125*SIN(R208)-110*SIN(P208+Q208)+148*SIN(P208-Q208)-55*SIN(2*S208-2*R208)</f>
        <v>4989.00189847279</v>
      </c>
      <c r="P208" s="32" t="n">
        <f aca="false">2*PI()*(0.374897+1325.55241*L208 - INT(0.374897+1325.55241*L208))</f>
        <v>2.96884590307746</v>
      </c>
      <c r="Q208" s="36" t="n">
        <f aca="false">2*PI()*(0.993133+99.997361*L208 - INT(0.993133+99.997361*L208))</f>
        <v>3.49681126737058</v>
      </c>
      <c r="R208" s="36" t="n">
        <f aca="false">2*PI()*(0.827361+1236.853086*L208 - INT(0.827361+1236.853086*L208))</f>
        <v>5.72308622121876</v>
      </c>
      <c r="S208" s="36" t="n">
        <f aca="false">2*PI()*(0.259086+1342.227825*L208 - INT(0.259086+1342.227825*L208))</f>
        <v>0.749808221388509</v>
      </c>
      <c r="T208" s="36" t="n">
        <f aca="false">S208+(O208+412*SIN(2*S208)+541*SIN(Q208))/206264.8062</f>
        <v>0.775075747351145</v>
      </c>
      <c r="U208" s="36" t="n">
        <f aca="false">S208-2*R208</f>
        <v>-10.696364221049</v>
      </c>
      <c r="V208" s="34" t="n">
        <f aca="false">-526*SIN(U208)+44*SIN(P208+U208)-31*SIN(-P208+U208)-23*SIN(Q208+U208)+11*SIN(-Q208+U208)-25*SIN(-2*P208+S208)+21*SIN(-P208+S208)</f>
        <v>-550.368550550856</v>
      </c>
      <c r="W208" s="36" t="n">
        <f aca="false">2*PI()*(N208+O208/1296000-INT(N208+O208/1296000))</f>
        <v>1.62268856614449</v>
      </c>
      <c r="X208" s="35" t="n">
        <f aca="false">W208*180/PI()</f>
        <v>92.9732063042147</v>
      </c>
      <c r="Y208" s="36" t="n">
        <f aca="false">(18520*SIN(T208)+V208)/206264.8062</f>
        <v>0.0601623494351026</v>
      </c>
      <c r="Z208" s="36" t="n">
        <f aca="false">Y208*180/PI()</f>
        <v>3.44704870822265</v>
      </c>
      <c r="AA208" s="36" t="n">
        <f aca="false">COS(Y208)*COS(W208)</f>
        <v>-0.0517751114662386</v>
      </c>
      <c r="AB208" s="36" t="n">
        <f aca="false">COS(Y208)*SIN(W208)</f>
        <v>0.996847126887023</v>
      </c>
      <c r="AC208" s="36" t="n">
        <f aca="false">SIN(Y208)</f>
        <v>0.0601260629822644</v>
      </c>
      <c r="AD208" s="36" t="n">
        <f aca="false">COS($A$10*(23.4393-46.815*L208/3600))*AB208-SIN($A$10*(23.4393-46.815*L208/3600))*AC208</f>
        <v>0.890695644026487</v>
      </c>
      <c r="AE208" s="36" t="n">
        <f aca="false">SIN($A$10*(23.4393-46.815*L208/3600))*AB208+COS($A$10*(23.4393-46.815*L208/3600))*AC208</f>
        <v>0.451642123306608</v>
      </c>
      <c r="AF208" s="36" t="n">
        <f aca="false">SQRT(1-AE208*AE208)</f>
        <v>0.892199188777427</v>
      </c>
      <c r="AG208" s="35" t="n">
        <f aca="false">ATAN(AE208/AF208)/$A$10</f>
        <v>26.8490897830227</v>
      </c>
      <c r="AH208" s="36" t="n">
        <f aca="false">IF(24*ATAN(AD208/(AA208+AF208))/PI()&gt;0,24*ATAN(AD208/(AA208+AF208))/PI(),24*ATAN(AD208/(AA208+AF208))/PI()+24)</f>
        <v>6.22178626502829</v>
      </c>
      <c r="AI208" s="63" t="n">
        <f aca="false">IF(M208-15*AH208&gt;0,M208-15*AH208,360+M208-15*AH208)</f>
        <v>225.346613424137</v>
      </c>
      <c r="AJ208" s="32" t="n">
        <f aca="false">0.950724+0.051818*COS(P208)+0.009531*COS(2*R208-P208)+0.007843*COS(2*R208)+0.002824*COS(2*P208)+0.000857*COS(2*R208+P208)+0.000533*COS(2*R208-Q208)*(1-0.002495*(J208-2415020)/36525)+0.000401*COS(2*R208-Q208-P208)*(1-0.002495*(J208-2415020)/36525)+0.00032*COS(P208-Q208)*(1-0.002495*(J208-2415020)/36525)-0.000271*COS(R208)</f>
        <v>0.900052491252837</v>
      </c>
      <c r="AK208" s="36" t="n">
        <f aca="false">ASIN(COS($A$10*$B$5)*COS($A$10*AG208)*COS($A$10*AI208)+SIN($A$10*$B$5)*SIN($A$10*AG208))/$A$10</f>
        <v>-3.27241340288942</v>
      </c>
      <c r="AL208" s="32" t="n">
        <f aca="false">ASIN((0.9983271+0.0016764*COS($A$10*2*$B$5))*COS($A$10*AK208)*SIN($A$10*AJ208))/$A$10</f>
        <v>0.896819792035859</v>
      </c>
      <c r="AM208" s="32" t="n">
        <f aca="false">AK208-AL208</f>
        <v>-4.16923319492528</v>
      </c>
      <c r="AN208" s="35" t="n">
        <f aca="false"> MOD(280.4664567 + 360007.6982779*L208/10 + 0.03032028*L208^2/100 + L208^3/49931000,360)</f>
        <v>123.679190432489</v>
      </c>
      <c r="AO208" s="32" t="n">
        <f aca="false"> AN208 + (1.9146 - 0.004817*L208 - 0.000014*L208^2)*SIN(Q208)+ (0.019993 - 0.000101*L208)*SIN(2*Q208)+ 0.00029*SIN(3*Q208)</f>
        <v>123.026449842137</v>
      </c>
      <c r="AP208" s="32" t="n">
        <f aca="false">ACOS(COS(W208-$A$10*AO208)*COS(Y208))/$A$10</f>
        <v>30.2319219957973</v>
      </c>
      <c r="AQ208" s="34" t="n">
        <f aca="false">180 - AP208 -0.1468*(1-0.0549*SIN(Q208))*SIN($A$10*AP208)/(1-0.0167*SIN($A$10*AO208))</f>
        <v>149.691683036571</v>
      </c>
      <c r="AR208" s="64" t="n">
        <f aca="false">SIN($A$10*AI208)</f>
        <v>-0.711371490774735</v>
      </c>
      <c r="AS208" s="64" t="n">
        <f aca="false">COS($A$10*AI208)*SIN($A$10*$B$5) - TAN($A$10*AG208)*COS($A$10*$B$5)</f>
        <v>-0.863775376311075</v>
      </c>
      <c r="AT208" s="24" t="n">
        <f aca="false">IF(OR(AND(AR208*AS208&gt;0), AND(AR208&lt;0,AS208&gt;0)), MOD(ATAN2(AS208,AR208)/$A$10+360,360),  ATAN2(AS208,AR208)/$A$10)</f>
        <v>219.473529520717</v>
      </c>
      <c r="AU208" s="39" t="n">
        <f aca="false"> 385000.56 + (-20905355*COS(P208) - 3699111*COS(2*R208-P208) - 2955968*COS(2*R208) - 569925*COS(2*P208) + (1-0.002516*L208)*48888*COS(Q208) - 3149*COS(2*S208)  +246158*COS(2*R208-2*P208) -(1 - 0.002516*L208)*152138*COS(2*R208-Q208-P208) -170733*COS(2*R208+P208) -(1 - 0.002516*L208)*204586*COS(2*R208-Q208) -(1 - 0.002516*L208)*129620*COS(Q208-P208)  + 108743*COS(R208) +(1-0.002516*L208)*104755*COS(Q208+P208) +10321*COS(2*R208-2*S208) +79661*COS(P208-2*S208) -34782*COS(4*R208-P208) -23210*COS(3*P208)  -21636*COS(4*R208-2*P208) +(1 - 0.002516*L208)*24208*COS(2*R208+Q208-P208) +(1 - 0.002516*L208)*30824*COS(2*R208+Q208) -8379*COS(R208-P208) -(1 - 0.002516*L208)*16675*COS(R208+Q208)  -(1 - 0.002516*L208)*12831*COS(2*R208-Q208+P208) -10445*COS(2*R208+2*P208) -11650*COS(4*R208) +14403*COS(2*R208-3*P208) -(1-0.002516*L208)*7003*COS(Q208-2*P208)  + (1 - 0.002516*L208)*10056*COS(2*R208-Q208-2*P208) +6322*COS(R208+P208) -(1 - 0.002516*L208)*(1-0.002516*L208)*9884*COS(2*R208-2*Q208) +(1-0.002516*L208)*5751*COS(Q208+2*P208) - (1-0.002516*L208)^2*4950*COS(2*R208-2*Q208-P208)  +4130*COS(2*R208+P208-2*S208) -(1-0.002516*L208)*3958*COS(4*R208-Q208-P208) +3258*COS(3*R208-P208) +(1 - 0.002516*L208)*2616*COS(2*R208+Q208+P208) -(1 - 0.002516*L208)*1897*COS(4*R208-Q208-2*P208)  -(1-0.002516*L208)^2*2117*COS(2*Q208-P208) +(1-0.002516*L208)^2*2354*COS(2*R208+2*Q208-P208) -1423*COS(4*R208+P208) -1117*COS(4*P208) -(1-0.002516*L208)*1571*COS(4*R208-Q208)  -1739*COS(R208-2*P208) -4421*COS(2*P208-2*S208) +(1-0.002516*L208)^2*1165*COS(2*Q208+P208) +8752*COS(2*R208-P208-2*S208))/1000</f>
        <v>406197.159657042</v>
      </c>
      <c r="AV208" s="54" t="n">
        <f aca="false">ATAN(0.99664719*TAN($A$10*input!$E$2))</f>
        <v>0.871010436227447</v>
      </c>
      <c r="AW208" s="54" t="n">
        <f aca="false">COS(AV208)</f>
        <v>0.644053912545845</v>
      </c>
      <c r="AX208" s="54" t="n">
        <f aca="false">0.99664719*SIN(AV208)</f>
        <v>0.762415269897027</v>
      </c>
      <c r="AY208" s="54" t="n">
        <f aca="false">6378.14/AU208</f>
        <v>0.0157020792695477</v>
      </c>
      <c r="AZ208" s="55" t="n">
        <f aca="false">M208-15*AH208</f>
        <v>225.346613424137</v>
      </c>
      <c r="BA208" s="56" t="n">
        <f aca="false">COS($A$10*AG208)*SIN($A$10*AZ208)</f>
        <v>-0.634685066988608</v>
      </c>
      <c r="BB208" s="56" t="n">
        <f aca="false">COS($A$10*AG208)*COS($A$10*AZ208)-AW208*AY208</f>
        <v>-0.637165023458534</v>
      </c>
      <c r="BC208" s="56" t="n">
        <f aca="false">SIN($A$10*AG208)-AX208*AY208</f>
        <v>0.439670618302371</v>
      </c>
      <c r="BD208" s="57" t="n">
        <f aca="false">SQRT(BA208^2+BB208^2+BC208^2)</f>
        <v>1.00105676860787</v>
      </c>
      <c r="BE208" s="58" t="n">
        <f aca="false">AU208*BD208</f>
        <v>406626.416063975</v>
      </c>
    </row>
    <row r="209" customFormat="false" ht="15" hidden="false" customHeight="false" outlineLevel="0" collapsed="false">
      <c r="D209" s="41" t="n">
        <f aca="false">K209-INT(275*E209/9)+IF($A$8="common year",2,1)*INT((E209+9)/12)+30</f>
        <v>27</v>
      </c>
      <c r="E209" s="41" t="n">
        <f aca="false">IF(K209&lt;32,1,INT(9*(IF($A$8="common year",2,1)+K209)/275+0.98))</f>
        <v>7</v>
      </c>
      <c r="F209" s="42" t="n">
        <f aca="false">AM209</f>
        <v>-8.75152020938289</v>
      </c>
      <c r="G209" s="60" t="n">
        <f aca="false">F209+1.02/(TAN($A$10*(F209+10.3/(F209+5.11)))*60)</f>
        <v>-8.83448470029837</v>
      </c>
      <c r="H209" s="43" t="n">
        <f aca="false">100*(1+COS($A$10*AQ209))/2</f>
        <v>2.91153077867623</v>
      </c>
      <c r="I209" s="43" t="n">
        <f aca="false">IF(AI209&gt;180,AT209-180,AT209+180)</f>
        <v>29.4849824269087</v>
      </c>
      <c r="J209" s="61" t="n">
        <f aca="false">$J$2+K208</f>
        <v>2459787.5</v>
      </c>
      <c r="K209" s="21" t="n">
        <v>208</v>
      </c>
      <c r="L209" s="62" t="n">
        <f aca="false">(J209-2451545)/36525</f>
        <v>0.225667351129363</v>
      </c>
      <c r="M209" s="63" t="n">
        <f aca="false">MOD(280.46061837+360.98564736629*(J209-2451545)+0.000387933*L209^2-L209^3/38710000+$B$7,360)</f>
        <v>319.6590547706</v>
      </c>
      <c r="N209" s="30" t="n">
        <f aca="false">0.606433+1336.855225*L209 - INT(0.606433+1336.855225*L209)</f>
        <v>0.291010469199193</v>
      </c>
      <c r="O209" s="35" t="n">
        <f aca="false">22640*SIN(P209)-4586*SIN(P209-2*R209)+2370*SIN(2*R209)+769*SIN(2*P209)-668*SIN(Q209)-412*SIN(2*S209)-212*SIN(2*P209-2*R209)-206*SIN(P209+Q209-2*R209)+192*SIN(P209+2*R209)-165*SIN(Q209-2*R209)-125*SIN(R209)-110*SIN(P209+Q209)+148*SIN(P209-Q209)-55*SIN(2*S209-2*R209)</f>
        <v>150.43211318562</v>
      </c>
      <c r="P209" s="32" t="n">
        <f aca="false">2*PI()*(0.374897+1325.55241*L209 - INT(0.374897+1325.55241*L209))</f>
        <v>3.19687304685328</v>
      </c>
      <c r="Q209" s="36" t="n">
        <f aca="false">2*PI()*(0.993133+99.997361*L209 - INT(0.993133+99.997361*L209))</f>
        <v>3.51401323723759</v>
      </c>
      <c r="R209" s="36" t="n">
        <f aca="false">2*PI()*(0.827361+1236.853086*L209 - INT(0.827361+1236.853086*L209))</f>
        <v>5.93585493133778</v>
      </c>
      <c r="S209" s="36" t="n">
        <f aca="false">2*PI()*(0.259086+1342.227825*L209 - INT(0.259086+1342.227825*L209))</f>
        <v>0.980703940729513</v>
      </c>
      <c r="T209" s="36" t="n">
        <f aca="false">S209+(O209+412*SIN(2*S209)+541*SIN(Q209))/206264.8062</f>
        <v>0.982325858195337</v>
      </c>
      <c r="U209" s="36" t="n">
        <f aca="false">S209-2*R209</f>
        <v>-10.891005921946</v>
      </c>
      <c r="V209" s="34" t="n">
        <f aca="false">-526*SIN(U209)+44*SIN(P209+U209)-31*SIN(-P209+U209)-23*SIN(Q209+U209)+11*SIN(-Q209+U209)-25*SIN(-2*P209+S209)+21*SIN(-P209+S209)</f>
        <v>-561.665446204365</v>
      </c>
      <c r="W209" s="36" t="n">
        <f aca="false">2*PI()*(N209+O209/1296000-INT(N209+O209/1296000))</f>
        <v>1.82920201977331</v>
      </c>
      <c r="X209" s="35" t="n">
        <f aca="false">W209*180/PI()</f>
        <v>104.805555609817</v>
      </c>
      <c r="Y209" s="36" t="n">
        <f aca="false">(18520*SIN(T209)+V209)/206264.8062</f>
        <v>0.0719613694262037</v>
      </c>
      <c r="Z209" s="36" t="n">
        <f aca="false">Y209*180/PI()</f>
        <v>4.12308275610323</v>
      </c>
      <c r="AA209" s="36" t="n">
        <f aca="false">COS(Y209)*COS(W209)</f>
        <v>-0.254878141141748</v>
      </c>
      <c r="AB209" s="36" t="n">
        <f aca="false">COS(Y209)*SIN(W209)</f>
        <v>0.964296441480163</v>
      </c>
      <c r="AC209" s="36" t="n">
        <f aca="false">SIN(Y209)</f>
        <v>0.0718992775820581</v>
      </c>
      <c r="AD209" s="36" t="n">
        <f aca="false">COS($A$10*(23.4393-46.815*L209/3600))*AB209-SIN($A$10*(23.4393-46.815*L209/3600))*AC209</f>
        <v>0.85614775149656</v>
      </c>
      <c r="AE209" s="36" t="n">
        <f aca="false">SIN($A$10*(23.4393-46.815*L209/3600))*AB209+COS($A$10*(23.4393-46.815*L209/3600))*AC209</f>
        <v>0.449497676051292</v>
      </c>
      <c r="AF209" s="36" t="n">
        <f aca="false">SQRT(1-AE209*AE209)</f>
        <v>0.893281500549792</v>
      </c>
      <c r="AG209" s="35" t="n">
        <f aca="false">ATAN(AE209/AF209)/$A$10</f>
        <v>26.7114599349118</v>
      </c>
      <c r="AH209" s="36" t="n">
        <f aca="false">IF(24*ATAN(AD209/(AA209+AF209))/PI()&gt;0,24*ATAN(AD209/(AA209+AF209))/PI(),24*ATAN(AD209/(AA209+AF209))/PI()+24)</f>
        <v>7.1052300113753</v>
      </c>
      <c r="AI209" s="63" t="n">
        <f aca="false">IF(M209-15*AH209&gt;0,M209-15*AH209,360+M209-15*AH209)</f>
        <v>213.080604599971</v>
      </c>
      <c r="AJ209" s="32" t="n">
        <f aca="false">0.950724+0.051818*COS(P209)+0.009531*COS(2*R209-P209)+0.007843*COS(2*R209)+0.002824*COS(2*P209)+0.000857*COS(2*R209+P209)+0.000533*COS(2*R209-Q209)*(1-0.002495*(J209-2415020)/36525)+0.000401*COS(2*R209-Q209-P209)*(1-0.002495*(J209-2415020)/36525)+0.00032*COS(P209-Q209)*(1-0.002495*(J209-2415020)/36525)-0.000271*COS(R209)</f>
        <v>0.900120776243674</v>
      </c>
      <c r="AK209" s="36" t="n">
        <f aca="false">ASIN(COS($A$10*$B$5)*COS($A$10*AG209)*COS($A$10*AI209)+SIN($A$10*$B$5)*SIN($A$10*AG209))/$A$10</f>
        <v>-7.86161142270053</v>
      </c>
      <c r="AL209" s="32" t="n">
        <f aca="false">ASIN((0.9983271+0.0016764*COS($A$10*2*$B$5))*COS($A$10*AK209)*SIN($A$10*AJ209))/$A$10</f>
        <v>0.889908786682363</v>
      </c>
      <c r="AM209" s="32" t="n">
        <f aca="false">AK209-AL209</f>
        <v>-8.75152020938289</v>
      </c>
      <c r="AN209" s="35" t="n">
        <f aca="false"> MOD(280.4664567 + 360007.6982779*L209/10 + 0.03032028*L209^2/100 + L209^3/49931000,360)</f>
        <v>124.664837796343</v>
      </c>
      <c r="AO209" s="32" t="n">
        <f aca="false"> AN209 + (1.9146 - 0.004817*L209 - 0.000014*L209^2)*SIN(Q209)+ (0.019993 - 0.000101*L209)*SIN(2*Q209)+ 0.00029*SIN(3*Q209)</f>
        <v>123.981842124472</v>
      </c>
      <c r="AP209" s="32" t="n">
        <f aca="false">ACOS(COS(W209-$A$10*AO209)*COS(Y209))/$A$10</f>
        <v>19.5982145723719</v>
      </c>
      <c r="AQ209" s="34" t="n">
        <f aca="false">180 - AP209 -0.1468*(1-0.0549*SIN(Q209))*SIN($A$10*AP209)/(1-0.0167*SIN($A$10*AO209))</f>
        <v>160.35085654555</v>
      </c>
      <c r="AR209" s="64" t="n">
        <f aca="false">SIN($A$10*AI209)</f>
        <v>-0.545818350560151</v>
      </c>
      <c r="AS209" s="64" t="n">
        <f aca="false">COS($A$10*AI209)*SIN($A$10*$B$5) - TAN($A$10*AG209)*COS($A$10*$B$5)</f>
        <v>-0.965320936054552</v>
      </c>
      <c r="AT209" s="24" t="n">
        <f aca="false">IF(OR(AND(AR209*AS209&gt;0), AND(AR209&lt;0,AS209&gt;0)), MOD(ATAN2(AS209,AR209)/$A$10+360,360),  ATAN2(AS209,AR209)/$A$10)</f>
        <v>209.484982426909</v>
      </c>
      <c r="AU209" s="39" t="n">
        <f aca="false"> 385000.56 + (-20905355*COS(P209) - 3699111*COS(2*R209-P209) - 2955968*COS(2*R209) - 569925*COS(2*P209) + (1-0.002516*L209)*48888*COS(Q209) - 3149*COS(2*S209)  +246158*COS(2*R209-2*P209) -(1 - 0.002516*L209)*152138*COS(2*R209-Q209-P209) -170733*COS(2*R209+P209) -(1 - 0.002516*L209)*204586*COS(2*R209-Q209) -(1 - 0.002516*L209)*129620*COS(Q209-P209)  + 108743*COS(R209) +(1-0.002516*L209)*104755*COS(Q209+P209) +10321*COS(2*R209-2*S209) +79661*COS(P209-2*S209) -34782*COS(4*R209-P209) -23210*COS(3*P209)  -21636*COS(4*R209-2*P209) +(1 - 0.002516*L209)*24208*COS(2*R209+Q209-P209) +(1 - 0.002516*L209)*30824*COS(2*R209+Q209) -8379*COS(R209-P209) -(1 - 0.002516*L209)*16675*COS(R209+Q209)  -(1 - 0.002516*L209)*12831*COS(2*R209-Q209+P209) -10445*COS(2*R209+2*P209) -11650*COS(4*R209) +14403*COS(2*R209-3*P209) -(1-0.002516*L209)*7003*COS(Q209-2*P209)  + (1 - 0.002516*L209)*10056*COS(2*R209-Q209-2*P209) +6322*COS(R209+P209) -(1 - 0.002516*L209)*(1-0.002516*L209)*9884*COS(2*R209-2*Q209) +(1-0.002516*L209)*5751*COS(Q209+2*P209) - (1-0.002516*L209)^2*4950*COS(2*R209-2*Q209-P209)  +4130*COS(2*R209+P209-2*S209) -(1-0.002516*L209)*3958*COS(4*R209-Q209-P209) +3258*COS(3*R209-P209) +(1 - 0.002516*L209)*2616*COS(2*R209+Q209+P209) -(1 - 0.002516*L209)*1897*COS(4*R209-Q209-2*P209)  -(1-0.002516*L209)^2*2117*COS(2*Q209-P209) +(1-0.002516*L209)^2*2354*COS(2*R209+2*Q209-P209) -1423*COS(4*R209+P209) -1117*COS(4*P209) -(1-0.002516*L209)*1571*COS(4*R209-Q209)  -1739*COS(R209-2*P209) -4421*COS(2*P209-2*S209) +(1-0.002516*L209)^2*1165*COS(2*Q209+P209) +8752*COS(2*R209-P209-2*S209))/1000</f>
        <v>406148.080302479</v>
      </c>
      <c r="AV209" s="54" t="n">
        <f aca="false">ATAN(0.99664719*TAN($A$10*input!$E$2))</f>
        <v>0.871010436227447</v>
      </c>
      <c r="AW209" s="54" t="n">
        <f aca="false">COS(AV209)</f>
        <v>0.644053912545845</v>
      </c>
      <c r="AX209" s="54" t="n">
        <f aca="false">0.99664719*SIN(AV209)</f>
        <v>0.762415269897027</v>
      </c>
      <c r="AY209" s="54" t="n">
        <f aca="false">6378.14/AU209</f>
        <v>0.0157039767250651</v>
      </c>
      <c r="AZ209" s="55" t="n">
        <f aca="false">M209-15*AH209</f>
        <v>213.080604599971</v>
      </c>
      <c r="BA209" s="56" t="n">
        <f aca="false">COS($A$10*AG209)*SIN($A$10*AZ209)</f>
        <v>-0.487569435215984</v>
      </c>
      <c r="BB209" s="56" t="n">
        <f aca="false">COS($A$10*AG209)*COS($A$10*AZ209)-AW209*AY209</f>
        <v>-0.758597931635437</v>
      </c>
      <c r="BC209" s="56" t="n">
        <f aca="false">SIN($A$10*AG209)-AX209*AY209</f>
        <v>0.437524724397995</v>
      </c>
      <c r="BD209" s="57" t="n">
        <f aca="false">SQRT(BA209^2+BB209^2+BC209^2)</f>
        <v>1.00230866528128</v>
      </c>
      <c r="BE209" s="58" t="n">
        <f aca="false">AU209*BD209</f>
        <v>407085.740274532</v>
      </c>
    </row>
    <row r="210" customFormat="false" ht="15" hidden="false" customHeight="false" outlineLevel="0" collapsed="false">
      <c r="D210" s="41" t="n">
        <f aca="false">K210-INT(275*E210/9)+IF($A$8="common year",2,1)*INT((E210+9)/12)+30</f>
        <v>28</v>
      </c>
      <c r="E210" s="41" t="n">
        <f aca="false">IF(K210&lt;32,1,INT(9*(IF($A$8="common year",2,1)+K210)/275+0.98))</f>
        <v>7</v>
      </c>
      <c r="F210" s="42" t="n">
        <f aca="false">AM210</f>
        <v>-13.2709683499348</v>
      </c>
      <c r="G210" s="60" t="n">
        <f aca="false">F210+1.02/(TAN($A$10*(F210+10.3/(F210+5.11)))*60)</f>
        <v>-13.3365462877944</v>
      </c>
      <c r="H210" s="43" t="n">
        <f aca="false">100*(1+COS($A$10*AQ210))/2</f>
        <v>0.680631597617976</v>
      </c>
      <c r="I210" s="43" t="n">
        <f aca="false">IF(AI210&gt;180,AT210-180,AT210+180)</f>
        <v>19.3111511533311</v>
      </c>
      <c r="J210" s="61" t="n">
        <f aca="false">$J$2+K209</f>
        <v>2459788.5</v>
      </c>
      <c r="K210" s="21" t="n">
        <v>209</v>
      </c>
      <c r="L210" s="62" t="n">
        <f aca="false">(J210-2451545)/36525</f>
        <v>0.225694729637235</v>
      </c>
      <c r="M210" s="63" t="n">
        <f aca="false">MOD(280.46061837+360.98564736629*(J210-2451545)+0.000387933*L210^2-L210^3/38710000+$B$7,360)</f>
        <v>320.644702142105</v>
      </c>
      <c r="N210" s="30" t="n">
        <f aca="false">0.606433+1336.855225*L210 - INT(0.606433+1336.855225*L210)</f>
        <v>0.327611570499641</v>
      </c>
      <c r="O210" s="35" t="n">
        <f aca="false">22640*SIN(P210)-4586*SIN(P210-2*R210)+2370*SIN(2*R210)+769*SIN(2*P210)-668*SIN(Q210)-412*SIN(2*S210)-212*SIN(2*P210-2*R210)-206*SIN(P210+Q210-2*R210)+192*SIN(P210+2*R210)-165*SIN(Q210-2*R210)-125*SIN(R210)-110*SIN(P210+Q210)+148*SIN(P210-Q210)-55*SIN(2*S210-2*R210)</f>
        <v>-4473.85869615923</v>
      </c>
      <c r="P210" s="32" t="n">
        <f aca="false">2*PI()*(0.374897+1325.55241*L210 - INT(0.374897+1325.55241*L210))</f>
        <v>3.42490019062874</v>
      </c>
      <c r="Q210" s="36" t="n">
        <f aca="false">2*PI()*(0.993133+99.997361*L210 - INT(0.993133+99.997361*L210))</f>
        <v>3.53121520710457</v>
      </c>
      <c r="R210" s="36" t="n">
        <f aca="false">2*PI()*(0.827361+1236.853086*L210 - INT(0.827361+1236.853086*L210))</f>
        <v>6.14862364145645</v>
      </c>
      <c r="S210" s="36" t="n">
        <f aca="false">2*PI()*(0.259086+1342.227825*L210 - INT(0.259086+1342.227825*L210))</f>
        <v>1.21159966007052</v>
      </c>
      <c r="T210" s="36" t="n">
        <f aca="false">S210+(O210+412*SIN(2*S210)+541*SIN(Q210))/206264.8062</f>
        <v>1.19022818448508</v>
      </c>
      <c r="U210" s="36" t="n">
        <f aca="false">S210-2*R210</f>
        <v>-11.0856476228424</v>
      </c>
      <c r="V210" s="34" t="n">
        <f aca="false">-526*SIN(U210)+44*SIN(P210+U210)-31*SIN(-P210+U210)-23*SIN(Q210+U210)+11*SIN(-Q210+U210)-25*SIN(-2*P210+S210)+21*SIN(-P210+S210)</f>
        <v>-557.809564426015</v>
      </c>
      <c r="W210" s="36" t="n">
        <f aca="false">2*PI()*(N210+O210/1296000-INT(N210+O210/1296000))</f>
        <v>2.03675432719289</v>
      </c>
      <c r="X210" s="35" t="n">
        <f aca="false">W210*180/PI()</f>
        <v>116.69742685316</v>
      </c>
      <c r="Y210" s="36" t="n">
        <f aca="false">(18520*SIN(T210)+V210)/206264.8062</f>
        <v>0.0806591982115259</v>
      </c>
      <c r="Z210" s="36" t="n">
        <f aca="false">Y210*180/PI()</f>
        <v>4.62143163642959</v>
      </c>
      <c r="AA210" s="36" t="n">
        <f aca="false">COS(Y210)*COS(W210)</f>
        <v>-0.44781818601297</v>
      </c>
      <c r="AB210" s="36" t="n">
        <f aca="false">COS(Y210)*SIN(W210)</f>
        <v>0.890486980660297</v>
      </c>
      <c r="AC210" s="36" t="n">
        <f aca="false">SIN(Y210)</f>
        <v>0.0805717664604684</v>
      </c>
      <c r="AD210" s="36" t="n">
        <f aca="false">COS($A$10*(23.4393-46.815*L210/3600))*AB210-SIN($A$10*(23.4393-46.815*L210/3600))*AC210</f>
        <v>0.784978087068778</v>
      </c>
      <c r="AE210" s="36" t="n">
        <f aca="false">SIN($A$10*(23.4393-46.815*L210/3600))*AB210+COS($A$10*(23.4393-46.815*L210/3600))*AC210</f>
        <v>0.428098440896361</v>
      </c>
      <c r="AF210" s="36" t="n">
        <f aca="false">SQRT(1-AE210*AE210)</f>
        <v>0.903732109035695</v>
      </c>
      <c r="AG210" s="35" t="n">
        <f aca="false">ATAN(AE210/AF210)/$A$10</f>
        <v>25.3469428246971</v>
      </c>
      <c r="AH210" s="36" t="n">
        <f aca="false">IF(24*ATAN(AD210/(AA210+AF210))/PI()&gt;0,24*ATAN(AD210/(AA210+AF210))/PI(),24*ATAN(AD210/(AA210+AF210))/PI()+24)</f>
        <v>7.98027384740781</v>
      </c>
      <c r="AI210" s="63" t="n">
        <f aca="false">IF(M210-15*AH210&gt;0,M210-15*AH210,360+M210-15*AH210)</f>
        <v>200.940594430987</v>
      </c>
      <c r="AJ210" s="32" t="n">
        <f aca="false">0.950724+0.051818*COS(P210)+0.009531*COS(2*R210-P210)+0.007843*COS(2*R210)+0.002824*COS(2*P210)+0.000857*COS(2*R210+P210)+0.000533*COS(2*R210-Q210)*(1-0.002495*(J210-2415020)/36525)+0.000401*COS(2*R210-Q210-P210)*(1-0.002495*(J210-2415020)/36525)+0.00032*COS(P210-Q210)*(1-0.002495*(J210-2415020)/36525)-0.000271*COS(R210)</f>
        <v>0.901808436220635</v>
      </c>
      <c r="AK210" s="36" t="n">
        <f aca="false">ASIN(COS($A$10*$B$5)*COS($A$10*AG210)*COS($A$10*AI210)+SIN($A$10*$B$5)*SIN($A$10*AG210))/$A$10</f>
        <v>-12.3919013862057</v>
      </c>
      <c r="AL210" s="32" t="n">
        <f aca="false">ASIN((0.9983271+0.0016764*COS($A$10*2*$B$5))*COS($A$10*AK210)*SIN($A$10*AJ210))/$A$10</f>
        <v>0.879066963729107</v>
      </c>
      <c r="AM210" s="32" t="n">
        <f aca="false">AK210-AL210</f>
        <v>-13.2709683499348</v>
      </c>
      <c r="AN210" s="35" t="n">
        <f aca="false"> MOD(280.4664567 + 360007.6982779*L210/10 + 0.03032028*L210^2/100 + L210^3/49931000,360)</f>
        <v>125.650485160191</v>
      </c>
      <c r="AO210" s="32" t="n">
        <f aca="false"> AN210 + (1.9146 - 0.004817*L210 - 0.000014*L210^2)*SIN(Q210)+ (0.019993 - 0.000101*L210)*SIN(2*Q210)+ 0.00029*SIN(3*Q210)</f>
        <v>124.937425111039</v>
      </c>
      <c r="AP210" s="32" t="n">
        <f aca="false">ACOS(COS(W210-$A$10*AO210)*COS(Y210))/$A$10</f>
        <v>9.43968693875976</v>
      </c>
      <c r="AQ210" s="34" t="n">
        <f aca="false">180 - AP210 -0.1468*(1-0.0549*SIN(Q210))*SIN($A$10*AP210)/(1-0.0167*SIN($A$10*AO210))</f>
        <v>170.535393265382</v>
      </c>
      <c r="AR210" s="64" t="n">
        <f aca="false">SIN($A$10*AI210)</f>
        <v>-0.357399799648816</v>
      </c>
      <c r="AS210" s="64" t="n">
        <f aca="false">COS($A$10*AI210)*SIN($A$10*$B$5) - TAN($A$10*AG210)*COS($A$10*$B$5)</f>
        <v>-1.01993722343762</v>
      </c>
      <c r="AT210" s="24" t="n">
        <f aca="false">IF(OR(AND(AR210*AS210&gt;0), AND(AR210&lt;0,AS210&gt;0)), MOD(ATAN2(AS210,AR210)/$A$10+360,360),  ATAN2(AS210,AR210)/$A$10)</f>
        <v>199.311151153331</v>
      </c>
      <c r="AU210" s="39" t="n">
        <f aca="false"> 385000.56 + (-20905355*COS(P210) - 3699111*COS(2*R210-P210) - 2955968*COS(2*R210) - 569925*COS(2*P210) + (1-0.002516*L210)*48888*COS(Q210) - 3149*COS(2*S210)  +246158*COS(2*R210-2*P210) -(1 - 0.002516*L210)*152138*COS(2*R210-Q210-P210) -170733*COS(2*R210+P210) -(1 - 0.002516*L210)*204586*COS(2*R210-Q210) -(1 - 0.002516*L210)*129620*COS(Q210-P210)  + 108743*COS(R210) +(1-0.002516*L210)*104755*COS(Q210+P210) +10321*COS(2*R210-2*S210) +79661*COS(P210-2*S210) -34782*COS(4*R210-P210) -23210*COS(3*P210)  -21636*COS(4*R210-2*P210) +(1 - 0.002516*L210)*24208*COS(2*R210+Q210-P210) +(1 - 0.002516*L210)*30824*COS(2*R210+Q210) -8379*COS(R210-P210) -(1 - 0.002516*L210)*16675*COS(R210+Q210)  -(1 - 0.002516*L210)*12831*COS(2*R210-Q210+P210) -10445*COS(2*R210+2*P210) -11650*COS(4*R210) +14403*COS(2*R210-3*P210) -(1-0.002516*L210)*7003*COS(Q210-2*P210)  + (1 - 0.002516*L210)*10056*COS(2*R210-Q210-2*P210) +6322*COS(R210+P210) -(1 - 0.002516*L210)*(1-0.002516*L210)*9884*COS(2*R210-2*Q210) +(1-0.002516*L210)*5751*COS(Q210+2*P210) - (1-0.002516*L210)^2*4950*COS(2*R210-2*Q210-P210)  +4130*COS(2*R210+P210-2*S210) -(1-0.002516*L210)*3958*COS(4*R210-Q210-P210) +3258*COS(3*R210-P210) +(1 - 0.002516*L210)*2616*COS(2*R210+Q210+P210) -(1 - 0.002516*L210)*1897*COS(4*R210-Q210-2*P210)  -(1-0.002516*L210)^2*2117*COS(2*Q210-P210) +(1-0.002516*L210)^2*2354*COS(2*R210+2*Q210-P210) -1423*COS(4*R210+P210) -1117*COS(4*P210) -(1-0.002516*L210)*1571*COS(4*R210-Q210)  -1739*COS(R210-2*P210) -4421*COS(2*P210-2*S210) +(1-0.002516*L210)^2*1165*COS(2*Q210+P210) +8752*COS(2*R210-P210-2*S210))/1000</f>
        <v>405360.099780641</v>
      </c>
      <c r="AV210" s="54" t="n">
        <f aca="false">ATAN(0.99664719*TAN($A$10*input!$E$2))</f>
        <v>0.871010436227447</v>
      </c>
      <c r="AW210" s="54" t="n">
        <f aca="false">COS(AV210)</f>
        <v>0.644053912545845</v>
      </c>
      <c r="AX210" s="54" t="n">
        <f aca="false">0.99664719*SIN(AV210)</f>
        <v>0.762415269897027</v>
      </c>
      <c r="AY210" s="54" t="n">
        <f aca="false">6378.14/AU210</f>
        <v>0.0157345037250867</v>
      </c>
      <c r="AZ210" s="55" t="n">
        <f aca="false">M210-15*AH210</f>
        <v>200.940594430987</v>
      </c>
      <c r="BA210" s="56" t="n">
        <f aca="false">COS($A$10*AG210)*SIN($A$10*AZ210)</f>
        <v>-0.32299367470556</v>
      </c>
      <c r="BB210" s="56" t="n">
        <f aca="false">COS($A$10*AG210)*COS($A$10*AZ210)-AW210*AY210</f>
        <v>-0.854175817289557</v>
      </c>
      <c r="BC210" s="56" t="n">
        <f aca="false">SIN($A$10*AG210)-AX210*AY210</f>
        <v>0.416102214992103</v>
      </c>
      <c r="BD210" s="57" t="n">
        <f aca="false">SQRT(BA210^2+BB210^2+BC210^2)</f>
        <v>1.00353489927527</v>
      </c>
      <c r="BE210" s="58" t="n">
        <f aca="false">AU210*BD210</f>
        <v>406793.006903577</v>
      </c>
    </row>
    <row r="211" customFormat="false" ht="15" hidden="false" customHeight="false" outlineLevel="0" collapsed="false">
      <c r="D211" s="41" t="n">
        <f aca="false">K211-INT(275*E211/9)+IF($A$8="common year",2,1)*INT((E211+9)/12)+30</f>
        <v>29</v>
      </c>
      <c r="E211" s="41" t="n">
        <f aca="false">IF(K211&lt;32,1,INT(9*(IF($A$8="common year",2,1)+K211)/275+0.98))</f>
        <v>7</v>
      </c>
      <c r="F211" s="42" t="n">
        <f aca="false">AM211</f>
        <v>-17.5825402678587</v>
      </c>
      <c r="G211" s="60" t="n">
        <f aca="false">F211+1.02/(TAN($A$10*(F211+10.3/(F211+5.11)))*60)</f>
        <v>-17.6336192851397</v>
      </c>
      <c r="H211" s="43" t="n">
        <f aca="false">100*(1+COS($A$10*AQ211))/2</f>
        <v>0.244226749572263</v>
      </c>
      <c r="I211" s="43" t="n">
        <f aca="false">IF(AI211&gt;180,AT211-180,AT211+180)</f>
        <v>8.78640485246524</v>
      </c>
      <c r="J211" s="61" t="n">
        <f aca="false">$J$2+K210</f>
        <v>2459789.5</v>
      </c>
      <c r="K211" s="21" t="n">
        <v>210</v>
      </c>
      <c r="L211" s="62" t="n">
        <f aca="false">(J211-2451545)/36525</f>
        <v>0.225722108145106</v>
      </c>
      <c r="M211" s="63" t="n">
        <f aca="false">MOD(280.46061837+360.98564736629*(J211-2451545)+0.000387933*L211^2-L211^3/38710000+$B$7,360)</f>
        <v>321.630349513143</v>
      </c>
      <c r="N211" s="30" t="n">
        <f aca="false">0.606433+1336.855225*L211 - INT(0.606433+1336.855225*L211)</f>
        <v>0.364212671800146</v>
      </c>
      <c r="O211" s="35" t="n">
        <f aca="false">22640*SIN(P211)-4586*SIN(P211-2*R211)+2370*SIN(2*R211)+769*SIN(2*P211)-668*SIN(Q211)-412*SIN(2*S211)-212*SIN(2*P211-2*R211)-206*SIN(P211+Q211-2*R211)+192*SIN(P211+2*R211)-165*SIN(Q211-2*R211)-125*SIN(R211)-110*SIN(P211+Q211)+148*SIN(P211-Q211)-55*SIN(2*S211-2*R211)</f>
        <v>-8785.19278964657</v>
      </c>
      <c r="P211" s="32" t="n">
        <f aca="false">2*PI()*(0.374897+1325.55241*L211 - INT(0.374897+1325.55241*L211))</f>
        <v>3.65292733440456</v>
      </c>
      <c r="Q211" s="36" t="n">
        <f aca="false">2*PI()*(0.993133+99.997361*L211 - INT(0.993133+99.997361*L211))</f>
        <v>3.54841717697158</v>
      </c>
      <c r="R211" s="36" t="n">
        <f aca="false">2*PI()*(0.827361+1236.853086*L211 - INT(0.827361+1236.853086*L211))</f>
        <v>0.0782070443958862</v>
      </c>
      <c r="S211" s="36" t="n">
        <f aca="false">2*PI()*(0.259086+1342.227825*L211 - INT(0.259086+1342.227825*L211))</f>
        <v>1.44249537941152</v>
      </c>
      <c r="T211" s="36" t="n">
        <f aca="false">S211+(O211+412*SIN(2*S211)+541*SIN(Q211))/206264.8062</f>
        <v>1.39937265600774</v>
      </c>
      <c r="U211" s="36" t="n">
        <f aca="false">S211-2*R211</f>
        <v>1.28608129061975</v>
      </c>
      <c r="V211" s="34" t="n">
        <f aca="false">-526*SIN(U211)+44*SIN(P211+U211)-31*SIN(-P211+U211)-23*SIN(Q211+U211)+11*SIN(-Q211+U211)-25*SIN(-2*P211+S211)+21*SIN(-P211+S211)</f>
        <v>-538.696346621329</v>
      </c>
      <c r="W211" s="36" t="n">
        <f aca="false">2*PI()*(N211+O211/1296000-INT(N211+O211/1296000))</f>
        <v>2.24582389158725</v>
      </c>
      <c r="X211" s="35" t="n">
        <f aca="false">W211*180/PI()</f>
        <v>128.676230517595</v>
      </c>
      <c r="Y211" s="36" t="n">
        <f aca="false">(18520*SIN(T211)+V211)/206264.8062</f>
        <v>0.0858597966358893</v>
      </c>
      <c r="Z211" s="36" t="n">
        <f aca="false">Y211*180/PI()</f>
        <v>4.919403977088</v>
      </c>
      <c r="AA211" s="36" t="n">
        <f aca="false">COS(Y211)*COS(W211)</f>
        <v>-0.622616830170395</v>
      </c>
      <c r="AB211" s="36" t="n">
        <f aca="false">COS(Y211)*SIN(W211)</f>
        <v>0.77781390788983</v>
      </c>
      <c r="AC211" s="36" t="n">
        <f aca="false">SIN(Y211)</f>
        <v>0.0857543438067214</v>
      </c>
      <c r="AD211" s="36" t="n">
        <f aca="false">COS($A$10*(23.4393-46.815*L211/3600))*AB211-SIN($A$10*(23.4393-46.815*L211/3600))*AC211</f>
        <v>0.679539009543</v>
      </c>
      <c r="AE211" s="36" t="n">
        <f aca="false">SIN($A$10*(23.4393-46.815*L211/3600))*AB211+COS($A$10*(23.4393-46.815*L211/3600))*AC211</f>
        <v>0.388039968686074</v>
      </c>
      <c r="AF211" s="36" t="n">
        <f aca="false">SQRT(1-AE211*AE211)</f>
        <v>0.921642546056827</v>
      </c>
      <c r="AG211" s="35" t="n">
        <f aca="false">ATAN(AE211/AF211)/$A$10</f>
        <v>22.8325953839863</v>
      </c>
      <c r="AH211" s="36" t="n">
        <f aca="false">IF(24*ATAN(AD211/(AA211+AF211))/PI()&gt;0,24*ATAN(AD211/(AA211+AF211))/PI(),24*ATAN(AD211/(AA211+AF211))/PI()+24)</f>
        <v>8.83313182040308</v>
      </c>
      <c r="AI211" s="63" t="n">
        <f aca="false">IF(M211-15*AH211&gt;0,M211-15*AH211,360+M211-15*AH211)</f>
        <v>189.133372207097</v>
      </c>
      <c r="AJ211" s="32" t="n">
        <f aca="false">0.950724+0.051818*COS(P211)+0.009531*COS(2*R211-P211)+0.007843*COS(2*R211)+0.002824*COS(2*P211)+0.000857*COS(2*R211+P211)+0.000533*COS(2*R211-Q211)*(1-0.002495*(J211-2415020)/36525)+0.000401*COS(2*R211-Q211-P211)*(1-0.002495*(J211-2415020)/36525)+0.00032*COS(P211-Q211)*(1-0.002495*(J211-2415020)/36525)-0.000271*COS(R211)</f>
        <v>0.904964437331978</v>
      </c>
      <c r="AK211" s="36" t="n">
        <f aca="false">ASIN(COS($A$10*$B$5)*COS($A$10*AG211)*COS($A$10*AI211)+SIN($A$10*$B$5)*SIN($A$10*AG211))/$A$10</f>
        <v>-16.7175299157927</v>
      </c>
      <c r="AL211" s="32" t="n">
        <f aca="false">ASIN((0.9983271+0.0016764*COS($A$10*2*$B$5))*COS($A$10*AK211)*SIN($A$10*AJ211))/$A$10</f>
        <v>0.865010352066003</v>
      </c>
      <c r="AM211" s="32" t="n">
        <f aca="false">AK211-AL211</f>
        <v>-17.5825402678587</v>
      </c>
      <c r="AN211" s="35" t="n">
        <f aca="false"> MOD(280.4664567 + 360007.6982779*L211/10 + 0.03032028*L211^2/100 + L211^3/49931000,360)</f>
        <v>126.636132524043</v>
      </c>
      <c r="AO211" s="32" t="n">
        <f aca="false"> AN211 + (1.9146 - 0.004817*L211 - 0.000014*L211^2)*SIN(Q211)+ (0.019993 - 0.000101*L211)*SIN(2*Q211)+ 0.00029*SIN(3*Q211)</f>
        <v>125.893207271426</v>
      </c>
      <c r="AP211" s="32" t="n">
        <f aca="false">ACOS(COS(W211-$A$10*AO211)*COS(Y211))/$A$10</f>
        <v>5.65037248250445</v>
      </c>
      <c r="AQ211" s="34" t="n">
        <f aca="false">180 - AP211 -0.1468*(1-0.0549*SIN(Q211))*SIN($A$10*AP211)/(1-0.0167*SIN($A$10*AO211))</f>
        <v>174.334657393892</v>
      </c>
      <c r="AR211" s="64" t="n">
        <f aca="false">SIN($A$10*AI211)</f>
        <v>-0.158733164396776</v>
      </c>
      <c r="AS211" s="64" t="n">
        <f aca="false">COS($A$10*AI211)*SIN($A$10*$B$5) - TAN($A$10*AG211)*COS($A$10*$B$5)</f>
        <v>-1.02696559395055</v>
      </c>
      <c r="AT211" s="24" t="n">
        <f aca="false">IF(OR(AND(AR211*AS211&gt;0), AND(AR211&lt;0,AS211&gt;0)), MOD(ATAN2(AS211,AR211)/$A$10+360,360),  ATAN2(AS211,AR211)/$A$10)</f>
        <v>188.786404852465</v>
      </c>
      <c r="AU211" s="39" t="n">
        <f aca="false"> 385000.56 + (-20905355*COS(P211) - 3699111*COS(2*R211-P211) - 2955968*COS(2*R211) - 569925*COS(2*P211) + (1-0.002516*L211)*48888*COS(Q211) - 3149*COS(2*S211)  +246158*COS(2*R211-2*P211) -(1 - 0.002516*L211)*152138*COS(2*R211-Q211-P211) -170733*COS(2*R211+P211) -(1 - 0.002516*L211)*204586*COS(2*R211-Q211) -(1 - 0.002516*L211)*129620*COS(Q211-P211)  + 108743*COS(R211) +(1-0.002516*L211)*104755*COS(Q211+P211) +10321*COS(2*R211-2*S211) +79661*COS(P211-2*S211) -34782*COS(4*R211-P211) -23210*COS(3*P211)  -21636*COS(4*R211-2*P211) +(1 - 0.002516*L211)*24208*COS(2*R211+Q211-P211) +(1 - 0.002516*L211)*30824*COS(2*R211+Q211) -8379*COS(R211-P211) -(1 - 0.002516*L211)*16675*COS(R211+Q211)  -(1 - 0.002516*L211)*12831*COS(2*R211-Q211+P211) -10445*COS(2*R211+2*P211) -11650*COS(4*R211) +14403*COS(2*R211-3*P211) -(1-0.002516*L211)*7003*COS(Q211-2*P211)  + (1 - 0.002516*L211)*10056*COS(2*R211-Q211-2*P211) +6322*COS(R211+P211) -(1 - 0.002516*L211)*(1-0.002516*L211)*9884*COS(2*R211-2*Q211) +(1-0.002516*L211)*5751*COS(Q211+2*P211) - (1-0.002516*L211)^2*4950*COS(2*R211-2*Q211-P211)  +4130*COS(2*R211+P211-2*S211) -(1-0.002516*L211)*3958*COS(4*R211-Q211-P211) +3258*COS(3*R211-P211) +(1 - 0.002516*L211)*2616*COS(2*R211+Q211+P211) -(1 - 0.002516*L211)*1897*COS(4*R211-Q211-2*P211)  -(1-0.002516*L211)^2*2117*COS(2*Q211-P211) +(1-0.002516*L211)^2*2354*COS(2*R211+2*Q211-P211) -1423*COS(4*R211+P211) -1117*COS(4*P211) -(1-0.002516*L211)*1571*COS(4*R211-Q211)  -1739*COS(R211-2*P211) -4421*COS(2*P211-2*S211) +(1-0.002516*L211)^2*1165*COS(2*Q211+P211) +8752*COS(2*R211-P211-2*S211))/1000</f>
        <v>403923.789654629</v>
      </c>
      <c r="AV211" s="54" t="n">
        <f aca="false">ATAN(0.99664719*TAN($A$10*input!$E$2))</f>
        <v>0.871010436227447</v>
      </c>
      <c r="AW211" s="54" t="n">
        <f aca="false">COS(AV211)</f>
        <v>0.644053912545845</v>
      </c>
      <c r="AX211" s="54" t="n">
        <f aca="false">0.99664719*SIN(AV211)</f>
        <v>0.762415269897027</v>
      </c>
      <c r="AY211" s="54" t="n">
        <f aca="false">6378.14/AU211</f>
        <v>0.0157904539503691</v>
      </c>
      <c r="AZ211" s="55" t="n">
        <f aca="false">M211-15*AH211</f>
        <v>189.133372207097</v>
      </c>
      <c r="BA211" s="56" t="n">
        <f aca="false">COS($A$10*AG211)*SIN($A$10*AZ211)</f>
        <v>-0.146295237778302</v>
      </c>
      <c r="BB211" s="56" t="n">
        <f aca="false">COS($A$10*AG211)*COS($A$10*AZ211)-AW211*AY211</f>
        <v>-0.920127422494233</v>
      </c>
      <c r="BC211" s="56" t="n">
        <f aca="false">SIN($A$10*AG211)-AX211*AY211</f>
        <v>0.376001085475706</v>
      </c>
      <c r="BD211" s="57" t="n">
        <f aca="false">SQRT(BA211^2+BB211^2+BC211^2)</f>
        <v>1.00469576813153</v>
      </c>
      <c r="BE211" s="58" t="n">
        <f aca="false">AU211*BD211</f>
        <v>405820.522113655</v>
      </c>
    </row>
    <row r="212" customFormat="false" ht="15" hidden="false" customHeight="false" outlineLevel="0" collapsed="false">
      <c r="D212" s="41" t="n">
        <f aca="false">K212-INT(275*E212/9)+IF($A$8="common year",2,1)*INT((E212+9)/12)+30</f>
        <v>30</v>
      </c>
      <c r="E212" s="41" t="n">
        <f aca="false">IF(K212&lt;32,1,INT(9*(IF($A$8="common year",2,1)+K212)/275+0.98))</f>
        <v>7</v>
      </c>
      <c r="F212" s="42" t="n">
        <f aca="false">AM212</f>
        <v>-21.5163606243814</v>
      </c>
      <c r="G212" s="60" t="n">
        <f aca="false">F212+1.02/(TAN($A$10*(F212+10.3/(F212+5.11)))*60)</f>
        <v>-21.5581341706187</v>
      </c>
      <c r="H212" s="43" t="n">
        <f aca="false">100*(1+COS($A$10*AQ212))/2</f>
        <v>1.6602342990491</v>
      </c>
      <c r="I212" s="43" t="n">
        <f aca="false">IF(AI212&gt;180,AT212-180,AT212+180)</f>
        <v>357.756671225897</v>
      </c>
      <c r="J212" s="61" t="n">
        <f aca="false">$J$2+K211</f>
        <v>2459790.5</v>
      </c>
      <c r="K212" s="21" t="n">
        <v>211</v>
      </c>
      <c r="L212" s="62" t="n">
        <f aca="false">(J212-2451545)/36525</f>
        <v>0.225749486652977</v>
      </c>
      <c r="M212" s="63" t="n">
        <f aca="false">MOD(280.46061837+360.98564736629*(J212-2451545)+0.000387933*L212^2-L212^3/38710000+$B$7,360)</f>
        <v>322.615996883716</v>
      </c>
      <c r="N212" s="30" t="n">
        <f aca="false">0.606433+1336.855225*L212 - INT(0.606433+1336.855225*L212)</f>
        <v>0.400813773100595</v>
      </c>
      <c r="O212" s="35" t="n">
        <f aca="false">22640*SIN(P212)-4586*SIN(P212-2*R212)+2370*SIN(2*R212)+769*SIN(2*P212)-668*SIN(Q212)-412*SIN(2*S212)-212*SIN(2*P212-2*R212)-206*SIN(P212+Q212-2*R212)+192*SIN(P212+2*R212)-165*SIN(Q212-2*R212)-125*SIN(R212)-110*SIN(P212+Q212)+148*SIN(P212-Q212)-55*SIN(2*S212-2*R212)</f>
        <v>-12711.0670374133</v>
      </c>
      <c r="P212" s="32" t="n">
        <f aca="false">2*PI()*(0.374897+1325.55241*L212 - INT(0.374897+1325.55241*L212))</f>
        <v>3.88095447818037</v>
      </c>
      <c r="Q212" s="36" t="n">
        <f aca="false">2*PI()*(0.993133+99.997361*L212 - INT(0.993133+99.997361*L212))</f>
        <v>3.56561914683857</v>
      </c>
      <c r="R212" s="36" t="n">
        <f aca="false">2*PI()*(0.827361+1236.853086*L212 - INT(0.827361+1236.853086*L212))</f>
        <v>0.290975754514911</v>
      </c>
      <c r="S212" s="36" t="n">
        <f aca="false">2*PI()*(0.259086+1342.227825*L212 - INT(0.259086+1342.227825*L212))</f>
        <v>1.67339109875253</v>
      </c>
      <c r="T212" s="36" t="n">
        <f aca="false">S212+(O212+412*SIN(2*S212)+541*SIN(Q212))/206264.8062</f>
        <v>1.61027999887246</v>
      </c>
      <c r="U212" s="36" t="n">
        <f aca="false">S212-2*R212</f>
        <v>1.0914395897227</v>
      </c>
      <c r="V212" s="34" t="n">
        <f aca="false">-526*SIN(U212)+44*SIN(P212+U212)-31*SIN(-P212+U212)-23*SIN(Q212+U212)+11*SIN(-Q212+U212)-25*SIN(-2*P212+S212)+21*SIN(-P212+S212)</f>
        <v>-504.110456147311</v>
      </c>
      <c r="W212" s="36" t="n">
        <f aca="false">2*PI()*(N212+O212/1296000-INT(N212+O212/1296000))</f>
        <v>2.45676221804848</v>
      </c>
      <c r="X212" s="35" t="n">
        <f aca="false">W212*180/PI()</f>
        <v>140.762106361377</v>
      </c>
      <c r="Y212" s="36" t="n">
        <f aca="false">(18520*SIN(T212)+V212)/206264.8062</f>
        <v>0.0872735188221397</v>
      </c>
      <c r="Z212" s="36" t="n">
        <f aca="false">Y212*180/PI()</f>
        <v>5.00040429176415</v>
      </c>
      <c r="AA212" s="36" t="n">
        <f aca="false">COS(Y212)*COS(W212)</f>
        <v>-0.771578532005918</v>
      </c>
      <c r="AB212" s="36" t="n">
        <f aca="false">COS(Y212)*SIN(W212)</f>
        <v>0.630134287358256</v>
      </c>
      <c r="AC212" s="36" t="n">
        <f aca="false">SIN(Y212)</f>
        <v>0.0871627721168549</v>
      </c>
      <c r="AD212" s="36" t="n">
        <f aca="false">COS($A$10*(23.4393-46.815*L212/3600))*AB212-SIN($A$10*(23.4393-46.815*L212/3600))*AC212</f>
        <v>0.543482434010285</v>
      </c>
      <c r="AE212" s="36" t="n">
        <f aca="false">SIN($A$10*(23.4393-46.815*L212/3600))*AB212+COS($A$10*(23.4393-46.815*L212/3600))*AC212</f>
        <v>0.330595542725319</v>
      </c>
      <c r="AF212" s="36" t="n">
        <f aca="false">SQRT(1-AE212*AE212)</f>
        <v>0.943772529336467</v>
      </c>
      <c r="AG212" s="35" t="n">
        <f aca="false">ATAN(AE212/AF212)/$A$10</f>
        <v>19.3049264870954</v>
      </c>
      <c r="AH212" s="36" t="n">
        <f aca="false">IF(24*ATAN(AD212/(AA212+AF212))/PI()&gt;0,24*ATAN(AD212/(AA212+AF212))/PI(),24*ATAN(AD212/(AA212+AF212))/PI()+24)</f>
        <v>9.65600009939026</v>
      </c>
      <c r="AI212" s="63" t="n">
        <f aca="false">IF(M212-15*AH212&gt;0,M212-15*AH212,360+M212-15*AH212)</f>
        <v>177.775995392863</v>
      </c>
      <c r="AJ212" s="32" t="n">
        <f aca="false">0.950724+0.051818*COS(P212)+0.009531*COS(2*R212-P212)+0.007843*COS(2*R212)+0.002824*COS(2*P212)+0.000857*COS(2*R212+P212)+0.000533*COS(2*R212-Q212)*(1-0.002495*(J212-2415020)/36525)+0.000401*COS(2*R212-Q212-P212)*(1-0.002495*(J212-2415020)/36525)+0.00032*COS(P212-Q212)*(1-0.002495*(J212-2415020)/36525)-0.000271*COS(R212)</f>
        <v>0.909475614330346</v>
      </c>
      <c r="AK212" s="36" t="n">
        <f aca="false">ASIN(COS($A$10*$B$5)*COS($A$10*AG212)*COS($A$10*AI212)+SIN($A$10*$B$5)*SIN($A$10*AG212))/$A$10</f>
        <v>-20.6670883994769</v>
      </c>
      <c r="AL212" s="32" t="n">
        <f aca="false">ASIN((0.9983271+0.0016764*COS($A$10*2*$B$5))*COS($A$10*AK212)*SIN($A$10*AJ212))/$A$10</f>
        <v>0.849272224904427</v>
      </c>
      <c r="AM212" s="32" t="n">
        <f aca="false">AK212-AL212</f>
        <v>-21.5163606243814</v>
      </c>
      <c r="AN212" s="35" t="n">
        <f aca="false"> MOD(280.4664567 + 360007.6982779*L212/10 + 0.03032028*L212^2/100 + L212^3/49931000,360)</f>
        <v>127.621779887895</v>
      </c>
      <c r="AO212" s="32" t="n">
        <f aca="false"> AN212 + (1.9146 - 0.004817*L212 - 0.000014*L212^2)*SIN(Q212)+ (0.019993 - 0.000101*L212)*SIN(2*Q212)+ 0.00029*SIN(3*Q212)</f>
        <v>126.849197029335</v>
      </c>
      <c r="AP212" s="32" t="n">
        <f aca="false">ACOS(COS(W212-$A$10*AO212)*COS(Y212))/$A$10</f>
        <v>14.767513303581</v>
      </c>
      <c r="AQ212" s="34" t="n">
        <f aca="false">180 - AP212 -0.1468*(1-0.0549*SIN(Q212))*SIN($A$10*AP212)/(1-0.0167*SIN($A$10*AO212))</f>
        <v>165.193704256996</v>
      </c>
      <c r="AR212" s="64" t="n">
        <f aca="false">SIN($A$10*AI212)</f>
        <v>0.0388064563282998</v>
      </c>
      <c r="AS212" s="64" t="n">
        <f aca="false">COS($A$10*AI212)*SIN($A$10*$B$5) - TAN($A$10*AG212)*COS($A$10*$B$5)</f>
        <v>-0.990630485418322</v>
      </c>
      <c r="AT212" s="24" t="n">
        <f aca="false">IF(OR(AND(AR212*AS212&gt;0), AND(AR212&lt;0,AS212&gt;0)), MOD(ATAN2(AS212,AR212)/$A$10+360,360),  ATAN2(AS212,AR212)/$A$10)</f>
        <v>177.756671225897</v>
      </c>
      <c r="AU212" s="39" t="n">
        <f aca="false"> 385000.56 + (-20905355*COS(P212) - 3699111*COS(2*R212-P212) - 2955968*COS(2*R212) - 569925*COS(2*P212) + (1-0.002516*L212)*48888*COS(Q212) - 3149*COS(2*S212)  +246158*COS(2*R212-2*P212) -(1 - 0.002516*L212)*152138*COS(2*R212-Q212-P212) -170733*COS(2*R212+P212) -(1 - 0.002516*L212)*204586*COS(2*R212-Q212) -(1 - 0.002516*L212)*129620*COS(Q212-P212)  + 108743*COS(R212) +(1-0.002516*L212)*104755*COS(Q212+P212) +10321*COS(2*R212-2*S212) +79661*COS(P212-2*S212) -34782*COS(4*R212-P212) -23210*COS(3*P212)  -21636*COS(4*R212-2*P212) +(1 - 0.002516*L212)*24208*COS(2*R212+Q212-P212) +(1 - 0.002516*L212)*30824*COS(2*R212+Q212) -8379*COS(R212-P212) -(1 - 0.002516*L212)*16675*COS(R212+Q212)  -(1 - 0.002516*L212)*12831*COS(2*R212-Q212+P212) -10445*COS(2*R212+2*P212) -11650*COS(4*R212) +14403*COS(2*R212-3*P212) -(1-0.002516*L212)*7003*COS(Q212-2*P212)  + (1 - 0.002516*L212)*10056*COS(2*R212-Q212-2*P212) +6322*COS(R212+P212) -(1 - 0.002516*L212)*(1-0.002516*L212)*9884*COS(2*R212-2*Q212) +(1-0.002516*L212)*5751*COS(Q212+2*P212) - (1-0.002516*L212)^2*4950*COS(2*R212-2*Q212-P212)  +4130*COS(2*R212+P212-2*S212) -(1-0.002516*L212)*3958*COS(4*R212-Q212-P212) +3258*COS(3*R212-P212) +(1 - 0.002516*L212)*2616*COS(2*R212+Q212+P212) -(1 - 0.002516*L212)*1897*COS(4*R212-Q212-2*P212)  -(1-0.002516*L212)^2*2117*COS(2*Q212-P212) +(1-0.002516*L212)^2*2354*COS(2*R212+2*Q212-P212) -1423*COS(4*R212+P212) -1117*COS(4*P212) -(1-0.002516*L212)*1571*COS(4*R212-Q212)  -1739*COS(R212-2*P212) -4421*COS(2*P212-2*S212) +(1-0.002516*L212)^2*1165*COS(2*Q212+P212) +8752*COS(2*R212-P212-2*S212))/1000</f>
        <v>401906.322830749</v>
      </c>
      <c r="AV212" s="54" t="n">
        <f aca="false">ATAN(0.99664719*TAN($A$10*input!$E$2))</f>
        <v>0.871010436227447</v>
      </c>
      <c r="AW212" s="54" t="n">
        <f aca="false">COS(AV212)</f>
        <v>0.644053912545845</v>
      </c>
      <c r="AX212" s="54" t="n">
        <f aca="false">0.99664719*SIN(AV212)</f>
        <v>0.762415269897027</v>
      </c>
      <c r="AY212" s="54" t="n">
        <f aca="false">6378.14/AU212</f>
        <v>0.0158697179857157</v>
      </c>
      <c r="AZ212" s="55" t="n">
        <f aca="false">M212-15*AH212</f>
        <v>177.775995392863</v>
      </c>
      <c r="BA212" s="56" t="n">
        <f aca="false">COS($A$10*AG212)*SIN($A$10*AZ212)</f>
        <v>0.0366244674435446</v>
      </c>
      <c r="BB212" s="56" t="n">
        <f aca="false">COS($A$10*AG212)*COS($A$10*AZ212)-AW212*AY212</f>
        <v>-0.953282582653513</v>
      </c>
      <c r="BC212" s="56" t="n">
        <f aca="false">SIN($A$10*AG212)-AX212*AY212</f>
        <v>0.31849622740405</v>
      </c>
      <c r="BD212" s="57" t="n">
        <f aca="false">SQRT(BA212^2+BB212^2+BC212^2)</f>
        <v>1.00574792113963</v>
      </c>
      <c r="BE212" s="58" t="n">
        <f aca="false">AU212*BD212</f>
        <v>404216.448679899</v>
      </c>
    </row>
    <row r="213" customFormat="false" ht="15" hidden="false" customHeight="false" outlineLevel="0" collapsed="false">
      <c r="D213" s="41" t="n">
        <f aca="false">K213-INT(275*E213/9)+IF($A$8="common year",2,1)*INT((E213+9)/12)+30</f>
        <v>31</v>
      </c>
      <c r="E213" s="41" t="n">
        <f aca="false">IF(K213&lt;32,1,INT(9*(IF($A$8="common year",2,1)+K213)/275+0.98))</f>
        <v>7</v>
      </c>
      <c r="F213" s="42" t="n">
        <f aca="false">AM213</f>
        <v>-24.876063142787</v>
      </c>
      <c r="G213" s="60" t="n">
        <f aca="false">F213+1.02/(TAN($A$10*(F213+10.3/(F213+5.11)))*60)</f>
        <v>-24.9118696427928</v>
      </c>
      <c r="H213" s="43" t="n">
        <f aca="false">100*(1+COS($A$10*AQ213))/2</f>
        <v>4.93337377247645</v>
      </c>
      <c r="I213" s="43" t="n">
        <f aca="false">IF(AI213&gt;180,AT213-180,AT213+180)</f>
        <v>346.099860962417</v>
      </c>
      <c r="J213" s="61" t="n">
        <f aca="false">$J$2+K212</f>
        <v>2459791.5</v>
      </c>
      <c r="K213" s="21" t="n">
        <v>212</v>
      </c>
      <c r="L213" s="62" t="n">
        <f aca="false">(J213-2451545)/36525</f>
        <v>0.225776865160849</v>
      </c>
      <c r="M213" s="63" t="n">
        <f aca="false">MOD(280.46061837+360.98564736629*(J213-2451545)+0.000387933*L213^2-L213^3/38710000+$B$7,360)</f>
        <v>323.601644254755</v>
      </c>
      <c r="N213" s="30" t="n">
        <f aca="false">0.606433+1336.855225*L213 - INT(0.606433+1336.855225*L213)</f>
        <v>0.4374148744011</v>
      </c>
      <c r="O213" s="35" t="n">
        <f aca="false">22640*SIN(P213)-4586*SIN(P213-2*R213)+2370*SIN(2*R213)+769*SIN(2*P213)-668*SIN(Q213)-412*SIN(2*S213)-212*SIN(2*P213-2*R213)-206*SIN(P213+Q213-2*R213)+192*SIN(P213+2*R213)-165*SIN(Q213-2*R213)-125*SIN(R213)-110*SIN(P213+Q213)+148*SIN(P213-Q213)-55*SIN(2*S213-2*R213)</f>
        <v>-16191.2257482218</v>
      </c>
      <c r="P213" s="32" t="n">
        <f aca="false">2*PI()*(0.374897+1325.55241*L213 - INT(0.374897+1325.55241*L213))</f>
        <v>4.10898162195619</v>
      </c>
      <c r="Q213" s="36" t="n">
        <f aca="false">2*PI()*(0.993133+99.997361*L213 - INT(0.993133+99.997361*L213))</f>
        <v>3.58282111670557</v>
      </c>
      <c r="R213" s="36" t="n">
        <f aca="false">2*PI()*(0.827361+1236.853086*L213 - INT(0.827361+1236.853086*L213))</f>
        <v>0.503744464633935</v>
      </c>
      <c r="S213" s="36" t="n">
        <f aca="false">2*PI()*(0.259086+1342.227825*L213 - INT(0.259086+1342.227825*L213))</f>
        <v>1.90428681809353</v>
      </c>
      <c r="T213" s="36" t="n">
        <f aca="false">S213+(O213+412*SIN(2*S213)+541*SIN(Q213))/206264.8062</f>
        <v>1.82343380906154</v>
      </c>
      <c r="U213" s="36" t="n">
        <f aca="false">S213-2*R213</f>
        <v>0.89679788882566</v>
      </c>
      <c r="V213" s="34" t="n">
        <f aca="false">-526*SIN(U213)+44*SIN(P213+U213)-31*SIN(-P213+U213)-23*SIN(Q213+U213)+11*SIN(-Q213+U213)-25*SIN(-2*P213+S213)+21*SIN(-P213+S213)</f>
        <v>-453.905246223954</v>
      </c>
      <c r="W213" s="36" t="n">
        <f aca="false">2*PI()*(N213+O213/1296000-INT(N213+O213/1296000))</f>
        <v>2.66986143441208</v>
      </c>
      <c r="X213" s="35" t="n">
        <f aca="false">W213*180/PI()</f>
        <v>152.971792076556</v>
      </c>
      <c r="Y213" s="36" t="n">
        <f aca="false">(18520*SIN(T213)+V213)/206264.8062</f>
        <v>0.084736732313795</v>
      </c>
      <c r="Z213" s="36" t="n">
        <f aca="false">Y213*180/PI()</f>
        <v>4.85505713131028</v>
      </c>
      <c r="AA213" s="36" t="n">
        <f aca="false">COS(Y213)*COS(W213)</f>
        <v>-0.887586769820329</v>
      </c>
      <c r="AB213" s="36" t="n">
        <f aca="false">COS(Y213)*SIN(W213)</f>
        <v>0.452798610231378</v>
      </c>
      <c r="AC213" s="36" t="n">
        <f aca="false">SIN(Y213)</f>
        <v>0.0846353626591576</v>
      </c>
      <c r="AD213" s="36" t="n">
        <f aca="false">COS($A$10*(23.4393-46.815*L213/3600))*AB213-SIN($A$10*(23.4393-46.815*L213/3600))*AC213</f>
        <v>0.38178175704463</v>
      </c>
      <c r="AE213" s="36" t="n">
        <f aca="false">SIN($A$10*(23.4393-46.815*L213/3600))*AB213+COS($A$10*(23.4393-46.815*L213/3600))*AC213</f>
        <v>0.257744866152227</v>
      </c>
      <c r="AF213" s="36" t="n">
        <f aca="false">SQRT(1-AE213*AE213)</f>
        <v>0.966213011696784</v>
      </c>
      <c r="AG213" s="35" t="n">
        <f aca="false">ATAN(AE213/AF213)/$A$10</f>
        <v>14.9362924519267</v>
      </c>
      <c r="AH213" s="36" t="n">
        <f aca="false">IF(24*ATAN(AD213/(AA213+AF213))/PI()&gt;0,24*ATAN(AD213/(AA213+AF213))/PI(),24*ATAN(AD213/(AA213+AF213))/PI()+24)</f>
        <v>10.4483858795438</v>
      </c>
      <c r="AI213" s="63" t="n">
        <f aca="false">IF(M213-15*AH213&gt;0,M213-15*AH213,360+M213-15*AH213)</f>
        <v>166.875856061598</v>
      </c>
      <c r="AJ213" s="32" t="n">
        <f aca="false">0.950724+0.051818*COS(P213)+0.009531*COS(2*R213-P213)+0.007843*COS(2*R213)+0.002824*COS(2*P213)+0.000857*COS(2*R213+P213)+0.000533*COS(2*R213-Q213)*(1-0.002495*(J213-2415020)/36525)+0.000401*COS(2*R213-Q213-P213)*(1-0.002495*(J213-2415020)/36525)+0.00032*COS(P213-Q213)*(1-0.002495*(J213-2415020)/36525)-0.000271*COS(R213)</f>
        <v>0.915274270312865</v>
      </c>
      <c r="AK213" s="36" t="n">
        <f aca="false">ASIN(COS($A$10*$B$5)*COS($A$10*AG213)*COS($A$10*AI213)+SIN($A$10*$B$5)*SIN($A$10*AG213))/$A$10</f>
        <v>-24.041838217195</v>
      </c>
      <c r="AL213" s="32" t="n">
        <f aca="false">ASIN((0.9983271+0.0016764*COS($A$10*2*$B$5))*COS($A$10*AK213)*SIN($A$10*AJ213))/$A$10</f>
        <v>0.834224925592039</v>
      </c>
      <c r="AM213" s="32" t="n">
        <f aca="false">AK213-AL213</f>
        <v>-24.876063142787</v>
      </c>
      <c r="AN213" s="35" t="n">
        <f aca="false"> MOD(280.4664567 + 360007.6982779*L213/10 + 0.03032028*L213^2/100 + L213^3/49931000,360)</f>
        <v>128.607427251747</v>
      </c>
      <c r="AO213" s="32" t="n">
        <f aca="false"> AN213 + (1.9146 - 0.004817*L213 - 0.000014*L213^2)*SIN(Q213)+ (0.019993 - 0.000101*L213)*SIN(2*Q213)+ 0.00029*SIN(3*Q213)</f>
        <v>127.805402760569</v>
      </c>
      <c r="AP213" s="32" t="n">
        <f aca="false">ACOS(COS(W213-$A$10*AO213)*COS(Y213))/$A$10</f>
        <v>25.600435416367</v>
      </c>
      <c r="AQ213" s="34" t="n">
        <f aca="false">180 - AP213 -0.1468*(1-0.0549*SIN(Q213))*SIN($A$10*AP213)/(1-0.0167*SIN($A$10*AO213))</f>
        <v>154.333778213971</v>
      </c>
      <c r="AR213" s="64" t="n">
        <f aca="false">SIN($A$10*AI213)</f>
        <v>0.227061712222042</v>
      </c>
      <c r="AS213" s="64" t="n">
        <f aca="false">COS($A$10*AI213)*SIN($A$10*$B$5) - TAN($A$10*AG213)*COS($A$10*$B$5)</f>
        <v>-0.917504261679738</v>
      </c>
      <c r="AT213" s="24" t="n">
        <f aca="false">IF(OR(AND(AR213*AS213&gt;0), AND(AR213&lt;0,AS213&gt;0)), MOD(ATAN2(AS213,AR213)/$A$10+360,360),  ATAN2(AS213,AR213)/$A$10)</f>
        <v>166.099860962417</v>
      </c>
      <c r="AU213" s="39" t="n">
        <f aca="false"> 385000.56 + (-20905355*COS(P213) - 3699111*COS(2*R213-P213) - 2955968*COS(2*R213) - 569925*COS(2*P213) + (1-0.002516*L213)*48888*COS(Q213) - 3149*COS(2*S213)  +246158*COS(2*R213-2*P213) -(1 - 0.002516*L213)*152138*COS(2*R213-Q213-P213) -170733*COS(2*R213+P213) -(1 - 0.002516*L213)*204586*COS(2*R213-Q213) -(1 - 0.002516*L213)*129620*COS(Q213-P213)  + 108743*COS(R213) +(1-0.002516*L213)*104755*COS(Q213+P213) +10321*COS(2*R213-2*S213) +79661*COS(P213-2*S213) -34782*COS(4*R213-P213) -23210*COS(3*P213)  -21636*COS(4*R213-2*P213) +(1 - 0.002516*L213)*24208*COS(2*R213+Q213-P213) +(1 - 0.002516*L213)*30824*COS(2*R213+Q213) -8379*COS(R213-P213) -(1 - 0.002516*L213)*16675*COS(R213+Q213)  -(1 - 0.002516*L213)*12831*COS(2*R213-Q213+P213) -10445*COS(2*R213+2*P213) -11650*COS(4*R213) +14403*COS(2*R213-3*P213) -(1-0.002516*L213)*7003*COS(Q213-2*P213)  + (1 - 0.002516*L213)*10056*COS(2*R213-Q213-2*P213) +6322*COS(R213+P213) -(1 - 0.002516*L213)*(1-0.002516*L213)*9884*COS(2*R213-2*Q213) +(1-0.002516*L213)*5751*COS(Q213+2*P213) - (1-0.002516*L213)^2*4950*COS(2*R213-2*Q213-P213)  +4130*COS(2*R213+P213-2*S213) -(1-0.002516*L213)*3958*COS(4*R213-Q213-P213) +3258*COS(3*R213-P213) +(1 - 0.002516*L213)*2616*COS(2*R213+Q213+P213) -(1 - 0.002516*L213)*1897*COS(4*R213-Q213-2*P213)  -(1-0.002516*L213)^2*2117*COS(2*Q213-P213) +(1-0.002516*L213)^2*2354*COS(2*R213+2*Q213-P213) -1423*COS(4*R213+P213) -1117*COS(4*P213) -(1-0.002516*L213)*1571*COS(4*R213-Q213)  -1739*COS(R213-2*P213) -4421*COS(2*P213-2*S213) +(1-0.002516*L213)^2*1165*COS(2*Q213+P213) +8752*COS(2*R213-P213-2*S213))/1000</f>
        <v>399348.381819751</v>
      </c>
      <c r="AV213" s="54" t="n">
        <f aca="false">ATAN(0.99664719*TAN($A$10*input!$E$2))</f>
        <v>0.871010436227447</v>
      </c>
      <c r="AW213" s="54" t="n">
        <f aca="false">COS(AV213)</f>
        <v>0.644053912545845</v>
      </c>
      <c r="AX213" s="54" t="n">
        <f aca="false">0.99664719*SIN(AV213)</f>
        <v>0.762415269897027</v>
      </c>
      <c r="AY213" s="54" t="n">
        <f aca="false">6378.14/AU213</f>
        <v>0.0159713680845183</v>
      </c>
      <c r="AZ213" s="55" t="n">
        <f aca="false">M213-15*AH213</f>
        <v>166.875856061598</v>
      </c>
      <c r="BA213" s="56" t="n">
        <f aca="false">COS($A$10*AG213)*SIN($A$10*AZ213)</f>
        <v>0.219389980807088</v>
      </c>
      <c r="BB213" s="56" t="n">
        <f aca="false">COS($A$10*AG213)*COS($A$10*AZ213)-AW213*AY213</f>
        <v>-0.951262309304505</v>
      </c>
      <c r="BC213" s="56" t="n">
        <f aca="false">SIN($A$10*AG213)-AX213*AY213</f>
        <v>0.245568051243445</v>
      </c>
      <c r="BD213" s="57" t="n">
        <f aca="false">SQRT(BA213^2+BB213^2+BC213^2)</f>
        <v>1.00664572346649</v>
      </c>
      <c r="BE213" s="58" t="n">
        <f aca="false">AU213*BD213</f>
        <v>402002.340732116</v>
      </c>
    </row>
    <row r="214" customFormat="false" ht="15" hidden="false" customHeight="false" outlineLevel="0" collapsed="false">
      <c r="A214" s="11"/>
      <c r="B214" s="69"/>
      <c r="C214" s="69"/>
      <c r="D214" s="70" t="n">
        <f aca="false">K214-INT(275*E214/9)+IF($A$8="common year",2,1)*INT((E214+9)/12)+30</f>
        <v>1</v>
      </c>
      <c r="E214" s="70" t="n">
        <f aca="false">IF(K214&lt;32,1,INT(9*(IF($A$8="common year",2,1)+K214)/275+0.98))</f>
        <v>8</v>
      </c>
      <c r="F214" s="42" t="n">
        <f aca="false">AM214</f>
        <v>-27.44386753759</v>
      </c>
      <c r="G214" s="60" t="n">
        <f aca="false">F214+1.02/(TAN($A$10*(F214+10.3/(F214+5.11)))*60)</f>
        <v>-27.4759681076577</v>
      </c>
      <c r="H214" s="43" t="n">
        <f aca="false">100*(1+COS($A$10*AQ214))/2</f>
        <v>10.0096575756759</v>
      </c>
      <c r="I214" s="43" t="n">
        <f aca="false">IF(AI214&gt;180,AT214-180,AT214+180)</f>
        <v>333.757658871201</v>
      </c>
      <c r="J214" s="44" t="n">
        <f aca="false">$J$2+K213</f>
        <v>2459792.5</v>
      </c>
      <c r="K214" s="11" t="n">
        <v>213</v>
      </c>
      <c r="L214" s="45" t="n">
        <f aca="false">(J214-2451545)/36525</f>
        <v>0.22580424366872</v>
      </c>
      <c r="M214" s="46" t="n">
        <f aca="false">MOD(280.46061837+360.98564736629*(J214-2451545)+0.000387933*L214^2-L214^3/38710000+$B$7,360)</f>
        <v>324.58729162626</v>
      </c>
      <c r="N214" s="47" t="n">
        <f aca="false">0.606433+1336.855225*L214 - INT(0.606433+1336.855225*L214)</f>
        <v>0.474015975701605</v>
      </c>
      <c r="O214" s="46" t="n">
        <f aca="false">22640*SIN(P214)-4586*SIN(P214-2*R214)+2370*SIN(2*R214)+769*SIN(2*P214)-668*SIN(Q214)-412*SIN(2*S214)-212*SIN(2*P214-2*R214)-206*SIN(P214+Q214-2*R214)+192*SIN(P214+2*R214)-165*SIN(Q214-2*R214)-125*SIN(R214)-110*SIN(P214+Q214)+148*SIN(P214-Q214)-55*SIN(2*S214-2*R214)</f>
        <v>-19160.8636585829</v>
      </c>
      <c r="P214" s="48" t="n">
        <f aca="false">2*PI()*(0.374897+1325.55241*L214 - INT(0.374897+1325.55241*L214))</f>
        <v>4.33700876573201</v>
      </c>
      <c r="Q214" s="51" t="n">
        <f aca="false">2*PI()*(0.993133+99.997361*L214 - INT(0.993133+99.997361*L214))</f>
        <v>3.60002308657256</v>
      </c>
      <c r="R214" s="51" t="n">
        <f aca="false">2*PI()*(0.827361+1236.853086*L214 - INT(0.827361+1236.853086*L214))</f>
        <v>0.716513174752959</v>
      </c>
      <c r="S214" s="51" t="n">
        <f aca="false">2*PI()*(0.259086+1342.227825*L214 - INT(0.259086+1342.227825*L214))</f>
        <v>2.13518253743418</v>
      </c>
      <c r="T214" s="51" t="n">
        <f aca="false">S214+(O214+412*SIN(2*S214)+541*SIN(Q214))/206264.8062</f>
        <v>2.03932187881871</v>
      </c>
      <c r="U214" s="51" t="n">
        <f aca="false">S214-2*R214</f>
        <v>0.702156187928259</v>
      </c>
      <c r="V214" s="50" t="n">
        <f aca="false">-526*SIN(U214)+44*SIN(P214+U214)-31*SIN(-P214+U214)-23*SIN(Q214+U214)+11*SIN(-Q214+U214)-25*SIN(-2*P214+S214)+21*SIN(-P214+S214)</f>
        <v>-388.271909732135</v>
      </c>
      <c r="W214" s="51" t="n">
        <f aca="false">2*PI()*(N214+O214/1296000-INT(N214+O214/1296000))</f>
        <v>2.88543572546116</v>
      </c>
      <c r="X214" s="46" t="n">
        <f aca="false">W214*180/PI()</f>
        <v>165.323289125193</v>
      </c>
      <c r="Y214" s="51" t="n">
        <f aca="false">(18520*SIN(T214)+V214)/206264.8062</f>
        <v>0.0782291559896854</v>
      </c>
      <c r="Z214" s="51" t="n">
        <f aca="false">Y214*180/PI()</f>
        <v>4.48220047307954</v>
      </c>
      <c r="AA214" s="51" t="n">
        <f aca="false">COS(Y214)*COS(W214)</f>
        <v>-0.964412269240964</v>
      </c>
      <c r="AB214" s="51" t="n">
        <f aca="false">COS(Y214)*SIN(W214)</f>
        <v>0.252589880826518</v>
      </c>
      <c r="AC214" s="51" t="n">
        <f aca="false">SIN(Y214)</f>
        <v>0.0781493892589108</v>
      </c>
      <c r="AD214" s="51" t="n">
        <f aca="false">COS($A$10*(23.4393-46.815*L214/3600))*AB214-SIN($A$10*(23.4393-46.815*L214/3600))*AC214</f>
        <v>0.200669439886234</v>
      </c>
      <c r="AE214" s="51" t="n">
        <f aca="false">SIN($A$10*(23.4393-46.815*L214/3600))*AB214+COS($A$10*(23.4393-46.815*L214/3600))*AC214</f>
        <v>0.172164894311356</v>
      </c>
      <c r="AF214" s="51" t="n">
        <f aca="false">SQRT(1-AE214*AE214)</f>
        <v>0.985068144427968</v>
      </c>
      <c r="AG214" s="46" t="n">
        <f aca="false">ATAN(AE214/AF214)/$A$10</f>
        <v>9.91371450339078</v>
      </c>
      <c r="AH214" s="51" t="n">
        <f aca="false">IF(24*ATAN(AD214/(AA214+AF214))/PI()&gt;0,24*ATAN(AD214/(AA214+AF214))/PI(),24*ATAN(AD214/(AA214+AF214))/PI()+24)</f>
        <v>11.2163956084903</v>
      </c>
      <c r="AI214" s="46" t="n">
        <f aca="false">IF(M214-15*AH214&gt;0,M214-15*AH214,360+M214-15*AH214)</f>
        <v>156.341357498906</v>
      </c>
      <c r="AJ214" s="48" t="n">
        <f aca="false">0.950724+0.051818*COS(P214)+0.009531*COS(2*R214-P214)+0.007843*COS(2*R214)+0.002824*COS(2*P214)+0.000857*COS(2*R214+P214)+0.000533*COS(2*R214-Q214)*(1-0.002495*(J214-2415020)/36525)+0.000401*COS(2*R214-Q214-P214)*(1-0.002495*(J214-2415020)/36525)+0.00032*COS(P214-Q214)*(1-0.002495*(J214-2415020)/36525)-0.000271*COS(R214)</f>
        <v>0.922345433345166</v>
      </c>
      <c r="AK214" s="51" t="n">
        <f aca="false">ASIN(COS($A$10*$B$5)*COS($A$10*AG214)*COS($A$10*AI214)+SIN($A$10*$B$5)*SIN($A$10*AG214))/$A$10</f>
        <v>-26.6209260543591</v>
      </c>
      <c r="AL214" s="48" t="n">
        <f aca="false">ASIN((0.9983271+0.0016764*COS($A$10*2*$B$5))*COS($A$10*AK214)*SIN($A$10*AJ214))/$A$10</f>
        <v>0.822941483230918</v>
      </c>
      <c r="AM214" s="48" t="n">
        <f aca="false">AK214-AL214</f>
        <v>-27.44386753759</v>
      </c>
      <c r="AN214" s="46" t="n">
        <f aca="false"> MOD(280.4664567 + 360007.6982779*L214/10 + 0.03032028*L214^2/100 + L214^3/49931000,360)</f>
        <v>129.593074615599</v>
      </c>
      <c r="AO214" s="48" t="n">
        <f aca="false"> AN214 + (1.9146 - 0.004817*L214 - 0.000014*L214^2)*SIN(Q214)+ (0.019993 - 0.000101*L214)*SIN(2*Q214)+ 0.00029*SIN(3*Q214)</f>
        <v>128.761832791015</v>
      </c>
      <c r="AP214" s="48" t="n">
        <f aca="false">ACOS(COS(W214-$A$10*AO214)*COS(Y214))/$A$10</f>
        <v>36.7970829813397</v>
      </c>
      <c r="AQ214" s="50" t="n">
        <f aca="false">180 - AP214 -0.1468*(1-0.0549*SIN(Q214))*SIN($A$10*AP214)/(1-0.0167*SIN($A$10*AO214))</f>
        <v>143.111661699704</v>
      </c>
      <c r="AR214" s="44" t="n">
        <f aca="false">SIN($A$10*AI214)</f>
        <v>0.401286724282125</v>
      </c>
      <c r="AS214" s="44" t="n">
        <f aca="false">COS($A$10*AI214)*SIN($A$10*$B$5) - TAN($A$10*AG214)*COS($A$10*$B$5)</f>
        <v>-0.814003265118401</v>
      </c>
      <c r="AT214" s="71" t="n">
        <f aca="false">IF(OR(AND(AR214*AS214&gt;0), AND(AR214&lt;0,AS214&gt;0)), MOD(ATAN2(AS214,AR214)/$A$10+360,360),  ATAN2(AS214,AR214)/$A$10)</f>
        <v>153.757658871201</v>
      </c>
      <c r="AU214" s="39" t="n">
        <f aca="false"> 385000.56 + (-20905355*COS(P214) - 3699111*COS(2*R214-P214) - 2955968*COS(2*R214) - 569925*COS(2*P214) + (1-0.002516*L214)*48888*COS(Q214) - 3149*COS(2*S214)  +246158*COS(2*R214-2*P214) -(1 - 0.002516*L214)*152138*COS(2*R214-Q214-P214) -170733*COS(2*R214+P214) -(1 - 0.002516*L214)*204586*COS(2*R214-Q214) -(1 - 0.002516*L214)*129620*COS(Q214-P214)  + 108743*COS(R214) +(1-0.002516*L214)*104755*COS(Q214+P214) +10321*COS(2*R214-2*S214) +79661*COS(P214-2*S214) -34782*COS(4*R214-P214) -23210*COS(3*P214)  -21636*COS(4*R214-2*P214) +(1 - 0.002516*L214)*24208*COS(2*R214+Q214-P214) +(1 - 0.002516*L214)*30824*COS(2*R214+Q214) -8379*COS(R214-P214) -(1 - 0.002516*L214)*16675*COS(R214+Q214)  -(1 - 0.002516*L214)*12831*COS(2*R214-Q214+P214) -10445*COS(2*R214+2*P214) -11650*COS(4*R214) +14403*COS(2*R214-3*P214) -(1-0.002516*L214)*7003*COS(Q214-2*P214)  + (1 - 0.002516*L214)*10056*COS(2*R214-Q214-2*P214) +6322*COS(R214+P214) -(1 - 0.002516*L214)*(1-0.002516*L214)*9884*COS(2*R214-2*Q214) +(1-0.002516*L214)*5751*COS(Q214+2*P214) - (1-0.002516*L214)^2*4950*COS(2*R214-2*Q214-P214)  +4130*COS(2*R214+P214-2*S214) -(1-0.002516*L214)*3958*COS(4*R214-Q214-P214) +3258*COS(3*R214-P214) +(1 - 0.002516*L214)*2616*COS(2*R214+Q214+P214) -(1 - 0.002516*L214)*1897*COS(4*R214-Q214-2*P214)  -(1-0.002516*L214)^2*2117*COS(2*Q214-P214) +(1-0.002516*L214)^2*2354*COS(2*R214+2*Q214-P214) -1423*COS(4*R214+P214) -1117*COS(4*P214) -(1-0.002516*L214)*1571*COS(4*R214-Q214)  -1739*COS(R214-2*P214) -4421*COS(2*P214-2*S214) +(1-0.002516*L214)^2*1165*COS(2*Q214+P214) +8752*COS(2*R214-P214-2*S214))/1000</f>
        <v>396269.546469843</v>
      </c>
      <c r="AV214" s="72" t="n">
        <f aca="false">ATAN(0.99664719*TAN($A$10*input!$E$2))</f>
        <v>0.871010436227447</v>
      </c>
      <c r="AW214" s="72" t="n">
        <f aca="false">COS(AV214)</f>
        <v>0.644053912545845</v>
      </c>
      <c r="AX214" s="72" t="n">
        <f aca="false">0.99664719*SIN(AV214)</f>
        <v>0.762415269897027</v>
      </c>
      <c r="AY214" s="72" t="n">
        <f aca="false">6378.14/AU214</f>
        <v>0.0160954583990102</v>
      </c>
      <c r="AZ214" s="73" t="n">
        <f aca="false">M214-15*AH214</f>
        <v>156.341357498906</v>
      </c>
      <c r="BA214" s="74" t="n">
        <f aca="false">COS($A$10*AG214)*SIN($A$10*AZ214)</f>
        <v>0.39529476887217</v>
      </c>
      <c r="BB214" s="74" t="n">
        <f aca="false">COS($A$10*AG214)*COS($A$10*AZ214)-AW214*AY214</f>
        <v>-0.912641963190327</v>
      </c>
      <c r="BC214" s="74" t="n">
        <f aca="false">SIN($A$10*AG214)-AX214*AY214</f>
        <v>0.159893471051958</v>
      </c>
      <c r="BD214" s="75" t="n">
        <f aca="false">SQRT(BA214^2+BB214^2+BC214^2)</f>
        <v>1.00734265737069</v>
      </c>
      <c r="BE214" s="58" t="n">
        <f aca="false">AU214*BD214</f>
        <v>399179.217976009</v>
      </c>
      <c r="BH214" s="69"/>
      <c r="BI214" s="69"/>
      <c r="BJ214" s="69"/>
      <c r="BK214" s="69"/>
      <c r="BL214" s="69"/>
    </row>
    <row r="215" customFormat="false" ht="15" hidden="false" customHeight="false" outlineLevel="0" collapsed="false">
      <c r="D215" s="41" t="n">
        <f aca="false">K215-INT(275*E215/9)+IF($A$8="common year",2,1)*INT((E215+9)/12)+30</f>
        <v>2</v>
      </c>
      <c r="E215" s="41" t="n">
        <f aca="false">IF(K215&lt;32,1,INT(9*(IF($A$8="common year",2,1)+K215)/275+0.98))</f>
        <v>8</v>
      </c>
      <c r="F215" s="42" t="n">
        <f aca="false">AM215</f>
        <v>-28.9961786375559</v>
      </c>
      <c r="G215" s="60" t="n">
        <f aca="false">F215+1.02/(TAN($A$10*(F215+10.3/(F215+5.11)))*60)</f>
        <v>-29.0263150823796</v>
      </c>
      <c r="H215" s="43" t="n">
        <f aca="false">100*(1+COS($A$10*AQ215))/2</f>
        <v>16.773756659229</v>
      </c>
      <c r="I215" s="43" t="n">
        <f aca="false">IF(AI215&gt;180,AT215-180,AT215+180)</f>
        <v>320.772196861619</v>
      </c>
      <c r="J215" s="61" t="n">
        <f aca="false">$J$2+K214</f>
        <v>2459793.5</v>
      </c>
      <c r="K215" s="21" t="n">
        <v>214</v>
      </c>
      <c r="L215" s="62" t="n">
        <f aca="false">(J215-2451545)/36525</f>
        <v>0.225831622176591</v>
      </c>
      <c r="M215" s="63" t="n">
        <f aca="false">MOD(280.46061837+360.98564736629*(J215-2451545)+0.000387933*L215^2-L215^3/38710000+$B$7,360)</f>
        <v>325.572938997299</v>
      </c>
      <c r="N215" s="30" t="n">
        <f aca="false">0.606433+1336.855225*L215 - INT(0.606433+1336.855225*L215)</f>
        <v>0.510617077001996</v>
      </c>
      <c r="O215" s="35" t="n">
        <f aca="false">22640*SIN(P215)-4586*SIN(P215-2*R215)+2370*SIN(2*R215)+769*SIN(2*P215)-668*SIN(Q215)-412*SIN(2*S215)-212*SIN(2*P215-2*R215)-206*SIN(P215+Q215-2*R215)+192*SIN(P215+2*R215)-165*SIN(Q215-2*R215)-125*SIN(R215)-110*SIN(P215+Q215)+148*SIN(P215-Q215)-55*SIN(2*S215-2*R215)</f>
        <v>-21533.2912992677</v>
      </c>
      <c r="P215" s="32" t="n">
        <f aca="false">2*PI()*(0.374897+1325.55241*L215 - INT(0.374897+1325.55241*L215))</f>
        <v>4.56503590950747</v>
      </c>
      <c r="Q215" s="36" t="n">
        <f aca="false">2*PI()*(0.993133+99.997361*L215 - INT(0.993133+99.997361*L215))</f>
        <v>3.61722505643954</v>
      </c>
      <c r="R215" s="36" t="n">
        <f aca="false">2*PI()*(0.827361+1236.853086*L215 - INT(0.827361+1236.853086*L215))</f>
        <v>0.929281884871626</v>
      </c>
      <c r="S215" s="36" t="n">
        <f aca="false">2*PI()*(0.259086+1342.227825*L215 - INT(0.259086+1342.227825*L215))</f>
        <v>2.36607825677518</v>
      </c>
      <c r="T215" s="36" t="n">
        <f aca="false">S215+(O215+412*SIN(2*S215)+541*SIN(Q215))/206264.8062</f>
        <v>2.25848387109574</v>
      </c>
      <c r="U215" s="36" t="n">
        <f aca="false">S215-2*R215</f>
        <v>0.507514487031929</v>
      </c>
      <c r="V215" s="34" t="n">
        <f aca="false">-526*SIN(U215)+44*SIN(P215+U215)-31*SIN(-P215+U215)-23*SIN(Q215+U215)+11*SIN(-Q215+U215)-25*SIN(-2*P215+S215)+21*SIN(-P215+S215)</f>
        <v>-308.041256398307</v>
      </c>
      <c r="W215" s="36" t="n">
        <f aca="false">2*PI()*(N215+O215/1296000-INT(N215+O215/1296000))</f>
        <v>3.10390537360191</v>
      </c>
      <c r="X215" s="35" t="n">
        <f aca="false">W215*180/PI()</f>
        <v>177.840677915366</v>
      </c>
      <c r="Y215" s="36" t="n">
        <f aca="false">(18520*SIN(T215)+V215)/206264.8062</f>
        <v>0.0678867992987537</v>
      </c>
      <c r="Z215" s="36" t="n">
        <f aca="false">Y215*180/PI()</f>
        <v>3.88962708447026</v>
      </c>
      <c r="AA215" s="36" t="n">
        <f aca="false">COS(Y215)*COS(W215)</f>
        <v>-0.996988130211794</v>
      </c>
      <c r="AB215" s="36" t="n">
        <f aca="false">COS(Y215)*SIN(W215)</f>
        <v>0.0375915699849831</v>
      </c>
      <c r="AC215" s="36" t="n">
        <f aca="false">SIN(Y215)</f>
        <v>0.0678346672642743</v>
      </c>
      <c r="AD215" s="36" t="n">
        <f aca="false">COS($A$10*(23.4393-46.815*L215/3600))*AB215-SIN($A$10*(23.4393-46.815*L215/3600))*AC215</f>
        <v>0.00751045460133753</v>
      </c>
      <c r="AE215" s="36" t="n">
        <f aca="false">SIN($A$10*(23.4393-46.815*L215/3600))*AB215+COS($A$10*(23.4393-46.815*L215/3600))*AC215</f>
        <v>0.0771897745071971</v>
      </c>
      <c r="AF215" s="36" t="n">
        <f aca="false">SQRT(1-AE215*AE215)</f>
        <v>0.99701641847641</v>
      </c>
      <c r="AG215" s="35" t="n">
        <f aca="false">ATAN(AE215/AF215)/$A$10</f>
        <v>4.42705200071488</v>
      </c>
      <c r="AH215" s="36" t="n">
        <f aca="false">IF(24*ATAN(AD215/(AA215+AF215))/PI()&gt;0,24*ATAN(AD215/(AA215+AF215))/PI(),24*ATAN(AD215/(AA215+AF215))/PI()+24)</f>
        <v>11.9712260558777</v>
      </c>
      <c r="AI215" s="63" t="n">
        <f aca="false">IF(M215-15*AH215&gt;0,M215-15*AH215,360+M215-15*AH215)</f>
        <v>146.004548159133</v>
      </c>
      <c r="AJ215" s="32" t="n">
        <f aca="false">0.950724+0.051818*COS(P215)+0.009531*COS(2*R215-P215)+0.007843*COS(2*R215)+0.002824*COS(2*P215)+0.000857*COS(2*R215+P215)+0.000533*COS(2*R215-Q215)*(1-0.002495*(J215-2415020)/36525)+0.000401*COS(2*R215-Q215-P215)*(1-0.002495*(J215-2415020)/36525)+0.00032*COS(P215-Q215)*(1-0.002495*(J215-2415020)/36525)-0.000271*COS(R215)</f>
        <v>0.930717716016799</v>
      </c>
      <c r="AK215" s="36" t="n">
        <f aca="false">ASIN(COS($A$10*$B$5)*COS($A$10*AG215)*COS($A$10*AI215)+SIN($A$10*$B$5)*SIN($A$10*AG215))/$A$10</f>
        <v>-28.17737977349</v>
      </c>
      <c r="AL215" s="32" t="n">
        <f aca="false">ASIN((0.9983271+0.0016764*COS($A$10*2*$B$5))*COS($A$10*AK215)*SIN($A$10*AJ215))/$A$10</f>
        <v>0.818798864065854</v>
      </c>
      <c r="AM215" s="32" t="n">
        <f aca="false">AK215-AL215</f>
        <v>-28.9961786375559</v>
      </c>
      <c r="AN215" s="35" t="n">
        <f aca="false"> MOD(280.4664567 + 360007.6982779*L215/10 + 0.03032028*L215^2/100 + L215^3/49931000,360)</f>
        <v>130.578721979451</v>
      </c>
      <c r="AO215" s="32" t="n">
        <f aca="false"> AN215 + (1.9146 - 0.004817*L215 - 0.000014*L215^2)*SIN(Q215)+ (0.019993 - 0.000101*L215)*SIN(2*Q215)+ 0.00029*SIN(3*Q215)</f>
        <v>129.718495394615</v>
      </c>
      <c r="AP215" s="32" t="n">
        <f aca="false">ACOS(COS(W215-$A$10*AO215)*COS(Y215))/$A$10</f>
        <v>48.240396783725</v>
      </c>
      <c r="AQ215" s="34" t="n">
        <f aca="false">180 - AP215 -0.1468*(1-0.0549*SIN(Q215))*SIN($A$10*AP215)/(1-0.0167*SIN($A$10*AO215))</f>
        <v>131.645884790952</v>
      </c>
      <c r="AR215" s="64" t="n">
        <f aca="false">SIN($A$10*AI215)</f>
        <v>0.559127092414868</v>
      </c>
      <c r="AS215" s="64" t="n">
        <f aca="false">COS($A$10*AI215)*SIN($A$10*$B$5) - TAN($A$10*AG215)*COS($A$10*$B$5)</f>
        <v>-0.684878736391578</v>
      </c>
      <c r="AT215" s="24" t="n">
        <f aca="false">IF(OR(AND(AR215*AS215&gt;0), AND(AR215&lt;0,AS215&gt;0)), MOD(ATAN2(AS215,AR215)/$A$10+360,360),  ATAN2(AS215,AR215)/$A$10)</f>
        <v>140.772196861619</v>
      </c>
      <c r="AU215" s="39" t="n">
        <f aca="false"> 385000.56 + (-20905355*COS(P215) - 3699111*COS(2*R215-P215) - 2955968*COS(2*R215) - 569925*COS(2*P215) + (1-0.002516*L215)*48888*COS(Q215) - 3149*COS(2*S215)  +246158*COS(2*R215-2*P215) -(1 - 0.002516*L215)*152138*COS(2*R215-Q215-P215) -170733*COS(2*R215+P215) -(1 - 0.002516*L215)*204586*COS(2*R215-Q215) -(1 - 0.002516*L215)*129620*COS(Q215-P215)  + 108743*COS(R215) +(1-0.002516*L215)*104755*COS(Q215+P215) +10321*COS(2*R215-2*S215) +79661*COS(P215-2*S215) -34782*COS(4*R215-P215) -23210*COS(3*P215)  -21636*COS(4*R215-2*P215) +(1 - 0.002516*L215)*24208*COS(2*R215+Q215-P215) +(1 - 0.002516*L215)*30824*COS(2*R215+Q215) -8379*COS(R215-P215) -(1 - 0.002516*L215)*16675*COS(R215+Q215)  -(1 - 0.002516*L215)*12831*COS(2*R215-Q215+P215) -10445*COS(2*R215+2*P215) -11650*COS(4*R215) +14403*COS(2*R215-3*P215) -(1-0.002516*L215)*7003*COS(Q215-2*P215)  + (1 - 0.002516*L215)*10056*COS(2*R215-Q215-2*P215) +6322*COS(R215+P215) -(1 - 0.002516*L215)*(1-0.002516*L215)*9884*COS(2*R215-2*Q215) +(1-0.002516*L215)*5751*COS(Q215+2*P215) - (1-0.002516*L215)^2*4950*COS(2*R215-2*Q215-P215)  +4130*COS(2*R215+P215-2*S215) -(1-0.002516*L215)*3958*COS(4*R215-Q215-P215) +3258*COS(3*R215-P215) +(1 - 0.002516*L215)*2616*COS(2*R215+Q215+P215) -(1 - 0.002516*L215)*1897*COS(4*R215-Q215-2*P215)  -(1-0.002516*L215)^2*2117*COS(2*Q215-P215) +(1-0.002516*L215)^2*2354*COS(2*R215+2*Q215-P215) -1423*COS(4*R215+P215) -1117*COS(4*P215) -(1-0.002516*L215)*1571*COS(4*R215-Q215)  -1739*COS(R215-2*P215) -4421*COS(2*P215-2*S215) +(1-0.002516*L215)^2*1165*COS(2*Q215+P215) +8752*COS(2*R215-P215-2*S215))/1000</f>
        <v>392681.659204804</v>
      </c>
      <c r="AV215" s="54" t="n">
        <f aca="false">ATAN(0.99664719*TAN($A$10*input!$E$2))</f>
        <v>0.871010436227447</v>
      </c>
      <c r="AW215" s="54" t="n">
        <f aca="false">COS(AV215)</f>
        <v>0.644053912545845</v>
      </c>
      <c r="AX215" s="54" t="n">
        <f aca="false">0.99664719*SIN(AV215)</f>
        <v>0.762415269897027</v>
      </c>
      <c r="AY215" s="54" t="n">
        <f aca="false">6378.14/AU215</f>
        <v>0.0162425207556574</v>
      </c>
      <c r="AZ215" s="55" t="n">
        <f aca="false">M215-15*AH215</f>
        <v>146.004548159133</v>
      </c>
      <c r="BA215" s="56" t="n">
        <f aca="false">COS($A$10*AG215)*SIN($A$10*AZ215)</f>
        <v>0.5574588911526</v>
      </c>
      <c r="BB215" s="56" t="n">
        <f aca="false">COS($A$10*AG215)*COS($A$10*AZ215)-AW215*AY215</f>
        <v>-0.837069384300655</v>
      </c>
      <c r="BC215" s="56" t="n">
        <f aca="false">SIN($A$10*AG215)-AX215*AY215</f>
        <v>0.0648062286614645</v>
      </c>
      <c r="BD215" s="57" t="n">
        <f aca="false">SQRT(BA215^2+BB215^2+BC215^2)</f>
        <v>1.00779234802209</v>
      </c>
      <c r="BE215" s="58" t="n">
        <f aca="false">AU215*BD215</f>
        <v>395741.571355221</v>
      </c>
    </row>
    <row r="216" customFormat="false" ht="15" hidden="false" customHeight="false" outlineLevel="0" collapsed="false">
      <c r="D216" s="41" t="n">
        <f aca="false">K216-INT(275*E216/9)+IF($A$8="common year",2,1)*INT((E216+9)/12)+30</f>
        <v>3</v>
      </c>
      <c r="E216" s="41" t="n">
        <f aca="false">IF(K216&lt;32,1,INT(9*(IF($A$8="common year",2,1)+K216)/275+0.98))</f>
        <v>8</v>
      </c>
      <c r="F216" s="42" t="n">
        <f aca="false">AM216</f>
        <v>-29.3311522677207</v>
      </c>
      <c r="G216" s="60" t="n">
        <f aca="false">F216+1.02/(TAN($A$10*(F216+10.3/(F216+5.11)))*60)</f>
        <v>-29.3608883878337</v>
      </c>
      <c r="H216" s="43" t="n">
        <f aca="false">100*(1+COS($A$10*AQ216))/2</f>
        <v>25.0474478507505</v>
      </c>
      <c r="I216" s="43" t="n">
        <f aca="false">IF(AI216&gt;180,AT216-180,AT216+180)</f>
        <v>307.308320569251</v>
      </c>
      <c r="J216" s="61" t="n">
        <f aca="false">$J$2+K215</f>
        <v>2459794.5</v>
      </c>
      <c r="K216" s="21" t="n">
        <v>215</v>
      </c>
      <c r="L216" s="62" t="n">
        <f aca="false">(J216-2451545)/36525</f>
        <v>0.225859000684463</v>
      </c>
      <c r="M216" s="63" t="n">
        <f aca="false">MOD(280.46061837+360.98564736629*(J216-2451545)+0.000387933*L216^2-L216^3/38710000+$B$7,360)</f>
        <v>326.558586368337</v>
      </c>
      <c r="N216" s="30" t="n">
        <f aca="false">0.606433+1336.855225*L216 - INT(0.606433+1336.855225*L216)</f>
        <v>0.547218178302501</v>
      </c>
      <c r="O216" s="35" t="n">
        <f aca="false">22640*SIN(P216)-4586*SIN(P216-2*R216)+2370*SIN(2*R216)+769*SIN(2*P216)-668*SIN(Q216)-412*SIN(2*S216)-212*SIN(2*P216-2*R216)-206*SIN(P216+Q216-2*R216)+192*SIN(P216+2*R216)-165*SIN(Q216-2*R216)-125*SIN(R216)-110*SIN(P216+Q216)+148*SIN(P216-Q216)-55*SIN(2*S216-2*R216)</f>
        <v>-23187.0753137551</v>
      </c>
      <c r="P216" s="32" t="n">
        <f aca="false">2*PI()*(0.374897+1325.55241*L216 - INT(0.374897+1325.55241*L216))</f>
        <v>4.79306305328329</v>
      </c>
      <c r="Q216" s="36" t="n">
        <f aca="false">2*PI()*(0.993133+99.997361*L216 - INT(0.993133+99.997361*L216))</f>
        <v>3.63442702630653</v>
      </c>
      <c r="R216" s="36" t="n">
        <f aca="false">2*PI()*(0.827361+1236.853086*L216 - INT(0.827361+1236.853086*L216))</f>
        <v>1.14205059499065</v>
      </c>
      <c r="S216" s="36" t="n">
        <f aca="false">2*PI()*(0.259086+1342.227825*L216 - INT(0.259086+1342.227825*L216))</f>
        <v>2.59697397611583</v>
      </c>
      <c r="T216" s="36" t="n">
        <f aca="false">S216+(O216+412*SIN(2*S216)+541*SIN(Q216))/206264.8062</f>
        <v>2.48154865871041</v>
      </c>
      <c r="U216" s="36" t="n">
        <f aca="false">S216-2*R216</f>
        <v>0.312872786134527</v>
      </c>
      <c r="V216" s="34" t="n">
        <f aca="false">-526*SIN(U216)+44*SIN(P216+U216)-31*SIN(-P216+U216)-23*SIN(Q216+U216)+11*SIN(-Q216+U216)-25*SIN(-2*P216+S216)+21*SIN(-P216+S216)</f>
        <v>-214.951789869467</v>
      </c>
      <c r="W216" s="36" t="n">
        <f aca="false">2*PI()*(N216+O216/1296000-INT(N216+O216/1296000))</f>
        <v>3.3258591043616</v>
      </c>
      <c r="X216" s="35" t="n">
        <f aca="false">W216*180/PI()</f>
        <v>190.557689935079</v>
      </c>
      <c r="Y216" s="36" t="n">
        <f aca="false">(18520*SIN(T216)+V216)/206264.8062</f>
        <v>0.0540112304027215</v>
      </c>
      <c r="Z216" s="36" t="n">
        <f aca="false">Y216*180/PI()</f>
        <v>3.09461554838462</v>
      </c>
      <c r="AA216" s="36" t="n">
        <f aca="false">COS(Y216)*COS(W216)</f>
        <v>-0.981637354913027</v>
      </c>
      <c r="AB216" s="36" t="n">
        <f aca="false">COS(Y216)*SIN(W216)</f>
        <v>-0.182958263101667</v>
      </c>
      <c r="AC216" s="36" t="n">
        <f aca="false">SIN(Y216)</f>
        <v>0.0539849738554784</v>
      </c>
      <c r="AD216" s="36" t="n">
        <f aca="false">COS($A$10*(23.4393-46.815*L216/3600))*AB216-SIN($A$10*(23.4393-46.815*L216/3600))*AC216</f>
        <v>-0.189336101673034</v>
      </c>
      <c r="AE216" s="36" t="n">
        <f aca="false">SIN($A$10*(23.4393-46.815*L216/3600))*AB216+COS($A$10*(23.4393-46.815*L216/3600))*AC216</f>
        <v>-0.0232366960348084</v>
      </c>
      <c r="AF216" s="36" t="n">
        <f aca="false">SQRT(1-AE216*AE216)</f>
        <v>0.999729991526405</v>
      </c>
      <c r="AG216" s="35" t="n">
        <f aca="false">ATAN(AE216/AF216)/$A$10</f>
        <v>-1.33148445214169</v>
      </c>
      <c r="AH216" s="36" t="n">
        <f aca="false">IF(24*ATAN(AD216/(AA216+AF216))/PI()&gt;0,24*ATAN(AD216/(AA216+AF216))/PI(),24*ATAN(AD216/(AA216+AF216))/PI()+24)</f>
        <v>12.727801751156</v>
      </c>
      <c r="AI216" s="63" t="n">
        <f aca="false">IF(M216-15*AH216&gt;0,M216-15*AH216,360+M216-15*AH216)</f>
        <v>135.641560100998</v>
      </c>
      <c r="AJ216" s="32" t="n">
        <f aca="false">0.950724+0.051818*COS(P216)+0.009531*COS(2*R216-P216)+0.007843*COS(2*R216)+0.002824*COS(2*P216)+0.000857*COS(2*R216+P216)+0.000533*COS(2*R216-Q216)*(1-0.002495*(J216-2415020)/36525)+0.000401*COS(2*R216-Q216-P216)*(1-0.002495*(J216-2415020)/36525)+0.00032*COS(P216-Q216)*(1-0.002495*(J216-2415020)/36525)-0.000271*COS(R216)</f>
        <v>0.940422023102703</v>
      </c>
      <c r="AK216" s="36" t="n">
        <f aca="false">ASIN(COS($A$10*$B$5)*COS($A$10*AG216)*COS($A$10*AI216)+SIN($A$10*$B$5)*SIN($A$10*AG216))/$A$10</f>
        <v>-28.5063748511065</v>
      </c>
      <c r="AL216" s="32" t="n">
        <f aca="false">ASIN((0.9983271+0.0016764*COS($A$10*2*$B$5))*COS($A$10*AK216)*SIN($A$10*AJ216))/$A$10</f>
        <v>0.824777416614117</v>
      </c>
      <c r="AM216" s="32" t="n">
        <f aca="false">AK216-AL216</f>
        <v>-29.3311522677207</v>
      </c>
      <c r="AN216" s="35" t="n">
        <f aca="false"> MOD(280.4664567 + 360007.6982779*L216/10 + 0.03032028*L216^2/100 + L216^3/49931000,360)</f>
        <v>131.564369343305</v>
      </c>
      <c r="AO216" s="32" t="n">
        <f aca="false"> AN216 + (1.9146 - 0.004817*L216 - 0.000014*L216^2)*SIN(Q216)+ (0.019993 - 0.000101*L216)*SIN(2*Q216)+ 0.00029*SIN(3*Q216)</f>
        <v>130.675398791355</v>
      </c>
      <c r="AP216" s="32" t="n">
        <f aca="false">ACOS(COS(W216-$A$10*AO216)*COS(Y216))/$A$10</f>
        <v>59.9307469873533</v>
      </c>
      <c r="AQ216" s="34" t="n">
        <f aca="false">180 - AP216 -0.1468*(1-0.0549*SIN(Q216))*SIN($A$10*AP216)/(1-0.0167*SIN($A$10*AO216))</f>
        <v>119.937237343449</v>
      </c>
      <c r="AR216" s="64" t="n">
        <f aca="false">SIN($A$10*AI216)</f>
        <v>0.699144906164093</v>
      </c>
      <c r="AS216" s="64" t="n">
        <f aca="false">COS($A$10*AI216)*SIN($A$10*$B$5) - TAN($A$10*AG216)*COS($A$10*$B$5)</f>
        <v>-0.532766161518635</v>
      </c>
      <c r="AT216" s="24" t="n">
        <f aca="false">IF(OR(AND(AR216*AS216&gt;0), AND(AR216&lt;0,AS216&gt;0)), MOD(ATAN2(AS216,AR216)/$A$10+360,360),  ATAN2(AS216,AR216)/$A$10)</f>
        <v>127.308320569251</v>
      </c>
      <c r="AU216" s="39" t="n">
        <f aca="false"> 385000.56 + (-20905355*COS(P216) - 3699111*COS(2*R216-P216) - 2955968*COS(2*R216) - 569925*COS(2*P216) + (1-0.002516*L216)*48888*COS(Q216) - 3149*COS(2*S216)  +246158*COS(2*R216-2*P216) -(1 - 0.002516*L216)*152138*COS(2*R216-Q216-P216) -170733*COS(2*R216+P216) -(1 - 0.002516*L216)*204586*COS(2*R216-Q216) -(1 - 0.002516*L216)*129620*COS(Q216-P216)  + 108743*COS(R216) +(1-0.002516*L216)*104755*COS(Q216+P216) +10321*COS(2*R216-2*S216) +79661*COS(P216-2*S216) -34782*COS(4*R216-P216) -23210*COS(3*P216)  -21636*COS(4*R216-2*P216) +(1 - 0.002516*L216)*24208*COS(2*R216+Q216-P216) +(1 - 0.002516*L216)*30824*COS(2*R216+Q216) -8379*COS(R216-P216) -(1 - 0.002516*L216)*16675*COS(R216+Q216)  -(1 - 0.002516*L216)*12831*COS(2*R216-Q216+P216) -10445*COS(2*R216+2*P216) -11650*COS(4*R216) +14403*COS(2*R216-3*P216) -(1-0.002516*L216)*7003*COS(Q216-2*P216)  + (1 - 0.002516*L216)*10056*COS(2*R216-Q216-2*P216) +6322*COS(R216+P216) -(1 - 0.002516*L216)*(1-0.002516*L216)*9884*COS(2*R216-2*Q216) +(1-0.002516*L216)*5751*COS(Q216+2*P216) - (1-0.002516*L216)^2*4950*COS(2*R216-2*Q216-P216)  +4130*COS(2*R216+P216-2*S216) -(1-0.002516*L216)*3958*COS(4*R216-Q216-P216) +3258*COS(3*R216-P216) +(1 - 0.002516*L216)*2616*COS(2*R216+Q216+P216) -(1 - 0.002516*L216)*1897*COS(4*R216-Q216-2*P216)  -(1-0.002516*L216)^2*2117*COS(2*Q216-P216) +(1-0.002516*L216)^2*2354*COS(2*R216+2*Q216-P216) -1423*COS(4*R216+P216) -1117*COS(4*P216) -(1-0.002516*L216)*1571*COS(4*R216-Q216)  -1739*COS(R216-2*P216) -4421*COS(2*P216-2*S216) +(1-0.002516*L216)^2*1165*COS(2*Q216+P216) +8752*COS(2*R216-P216-2*S216))/1000</f>
        <v>388608.741358737</v>
      </c>
      <c r="AV216" s="54" t="n">
        <f aca="false">ATAN(0.99664719*TAN($A$10*input!$E$2))</f>
        <v>0.871010436227447</v>
      </c>
      <c r="AW216" s="54" t="n">
        <f aca="false">COS(AV216)</f>
        <v>0.644053912545845</v>
      </c>
      <c r="AX216" s="54" t="n">
        <f aca="false">0.99664719*SIN(AV216)</f>
        <v>0.762415269897027</v>
      </c>
      <c r="AY216" s="54" t="n">
        <f aca="false">6378.14/AU216</f>
        <v>0.0164127548384511</v>
      </c>
      <c r="AZ216" s="55" t="n">
        <f aca="false">M216-15*AH216</f>
        <v>135.641560100998</v>
      </c>
      <c r="BA216" s="56" t="n">
        <f aca="false">COS($A$10*AG216)*SIN($A$10*AZ216)</f>
        <v>0.698956131115158</v>
      </c>
      <c r="BB216" s="56" t="n">
        <f aca="false">COS($A$10*AG216)*COS($A$10*AZ216)-AW216*AY216</f>
        <v>-0.725357648160458</v>
      </c>
      <c r="BC216" s="56" t="n">
        <f aca="false">SIN($A$10*AG216)-AX216*AY216</f>
        <v>-0.0357500309447198</v>
      </c>
      <c r="BD216" s="57" t="n">
        <f aca="false">SQRT(BA216^2+BB216^2+BC216^2)</f>
        <v>1.00794913347891</v>
      </c>
      <c r="BE216" s="58" t="n">
        <f aca="false">AU216*BD216</f>
        <v>391697.844114869</v>
      </c>
    </row>
    <row r="217" customFormat="false" ht="15" hidden="false" customHeight="false" outlineLevel="0" collapsed="false">
      <c r="D217" s="41" t="n">
        <f aca="false">K217-INT(275*E217/9)+IF($A$8="common year",2,1)*INT((E217+9)/12)+30</f>
        <v>4</v>
      </c>
      <c r="E217" s="41" t="n">
        <f aca="false">IF(K217&lt;32,1,INT(9*(IF($A$8="common year",2,1)+K217)/275+0.98))</f>
        <v>8</v>
      </c>
      <c r="F217" s="42" t="n">
        <f aca="false">AM217</f>
        <v>-28.3031742462903</v>
      </c>
      <c r="G217" s="60" t="n">
        <f aca="false">F217+1.02/(TAN($A$10*(F217+10.3/(F217+5.11)))*60)</f>
        <v>-28.3341646555097</v>
      </c>
      <c r="H217" s="43" t="n">
        <f aca="false">100*(1+COS($A$10*AQ217))/2</f>
        <v>34.5853733513171</v>
      </c>
      <c r="I217" s="43" t="n">
        <f aca="false">IF(AI217&gt;180,AT217-180,AT217+180)</f>
        <v>293.635103721591</v>
      </c>
      <c r="J217" s="61" t="n">
        <f aca="false">$J$2+K216</f>
        <v>2459795.5</v>
      </c>
      <c r="K217" s="21" t="n">
        <v>216</v>
      </c>
      <c r="L217" s="62" t="n">
        <f aca="false">(J217-2451545)/36525</f>
        <v>0.225886379192334</v>
      </c>
      <c r="M217" s="63" t="n">
        <f aca="false">MOD(280.46061837+360.98564736629*(J217-2451545)+0.000387933*L217^2-L217^3/38710000+$B$7,360)</f>
        <v>327.544233739376</v>
      </c>
      <c r="N217" s="30" t="n">
        <f aca="false">0.606433+1336.855225*L217 - INT(0.606433+1336.855225*L217)</f>
        <v>0.583819279603006</v>
      </c>
      <c r="O217" s="35" t="n">
        <f aca="false">22640*SIN(P217)-4586*SIN(P217-2*R217)+2370*SIN(2*R217)+769*SIN(2*P217)-668*SIN(Q217)-412*SIN(2*S217)-212*SIN(2*P217-2*R217)-206*SIN(P217+Q217-2*R217)+192*SIN(P217+2*R217)-165*SIN(Q217-2*R217)-125*SIN(R217)-110*SIN(P217+Q217)+148*SIN(P217-Q217)-55*SIN(2*S217-2*R217)</f>
        <v>-23964.1875844648</v>
      </c>
      <c r="P217" s="32" t="n">
        <f aca="false">2*PI()*(0.374897+1325.55241*L217 - INT(0.374897+1325.55241*L217))</f>
        <v>5.02109019705875</v>
      </c>
      <c r="Q217" s="36" t="n">
        <f aca="false">2*PI()*(0.993133+99.997361*L217 - INT(0.993133+99.997361*L217))</f>
        <v>3.65162899617353</v>
      </c>
      <c r="R217" s="36" t="n">
        <f aca="false">2*PI()*(0.827361+1236.853086*L217 - INT(0.827361+1236.853086*L217))</f>
        <v>1.35481930510967</v>
      </c>
      <c r="S217" s="36" t="n">
        <f aca="false">2*PI()*(0.259086+1342.227825*L217 - INT(0.259086+1342.227825*L217))</f>
        <v>2.82786969545683</v>
      </c>
      <c r="T217" s="36" t="n">
        <f aca="false">S217+(O217+412*SIN(2*S217)+541*SIN(Q217))/206264.8062</f>
        <v>2.70923488973653</v>
      </c>
      <c r="U217" s="36" t="n">
        <f aca="false">S217-2*R217</f>
        <v>0.118231085237483</v>
      </c>
      <c r="V217" s="34" t="n">
        <f aca="false">-526*SIN(U217)+44*SIN(P217+U217)-31*SIN(-P217+U217)-23*SIN(Q217+U217)+11*SIN(-Q217+U217)-25*SIN(-2*P217+S217)+21*SIN(-P217+S217)</f>
        <v>-111.820684077356</v>
      </c>
      <c r="W217" s="36" t="n">
        <f aca="false">2*PI()*(N217+O217/1296000-INT(N217+O217/1296000))</f>
        <v>3.55206305967354</v>
      </c>
      <c r="X217" s="35" t="n">
        <f aca="false">W217*180/PI()</f>
        <v>203.51822188362</v>
      </c>
      <c r="Y217" s="36" t="n">
        <f aca="false">(18520*SIN(T217)+V217)/206264.8062</f>
        <v>0.0370799843477514</v>
      </c>
      <c r="Z217" s="36" t="n">
        <f aca="false">Y217*180/PI()</f>
        <v>2.12452660753731</v>
      </c>
      <c r="AA217" s="36" t="n">
        <f aca="false">COS(Y217)*COS(W217)</f>
        <v>-0.916302928012005</v>
      </c>
      <c r="AB217" s="36" t="n">
        <f aca="false">COS(Y217)*SIN(W217)</f>
        <v>-0.398766408943499</v>
      </c>
      <c r="AC217" s="36" t="n">
        <f aca="false">SIN(Y217)</f>
        <v>0.03707148789748</v>
      </c>
      <c r="AD217" s="36" t="n">
        <f aca="false">COS($A$10*(23.4393-46.815*L217/3600))*AB217-SIN($A$10*(23.4393-46.815*L217/3600))*AC217</f>
        <v>-0.380613586796724</v>
      </c>
      <c r="AE217" s="36" t="n">
        <f aca="false">SIN($A$10*(23.4393-46.815*L217/3600))*AB217+COS($A$10*(23.4393-46.815*L217/3600))*AC217</f>
        <v>-0.124588288624412</v>
      </c>
      <c r="AF217" s="36" t="n">
        <f aca="false">SQRT(1-AE217*AE217)</f>
        <v>0.99220852563241</v>
      </c>
      <c r="AG217" s="35" t="n">
        <f aca="false">ATAN(AE217/AF217)/$A$10</f>
        <v>-7.15698059828092</v>
      </c>
      <c r="AH217" s="36" t="n">
        <f aca="false">IF(24*ATAN(AD217/(AA217+AF217))/PI()&gt;0,24*ATAN(AD217/(AA217+AF217))/PI(),24*ATAN(AD217/(AA217+AF217))/PI()+24)</f>
        <v>13.5038002571641</v>
      </c>
      <c r="AI217" s="63" t="n">
        <f aca="false">IF(M217-15*AH217&gt;0,M217-15*AH217,360+M217-15*AH217)</f>
        <v>124.987229881915</v>
      </c>
      <c r="AJ217" s="32" t="n">
        <f aca="false">0.950724+0.051818*COS(P217)+0.009531*COS(2*R217-P217)+0.007843*COS(2*R217)+0.002824*COS(2*P217)+0.000857*COS(2*R217+P217)+0.000533*COS(2*R217-Q217)*(1-0.002495*(J217-2415020)/36525)+0.000401*COS(2*R217-Q217-P217)*(1-0.002495*(J217-2415020)/36525)+0.00032*COS(P217-Q217)*(1-0.002495*(J217-2415020)/36525)-0.000271*COS(R217)</f>
        <v>0.951413999452332</v>
      </c>
      <c r="AK217" s="36" t="n">
        <f aca="false">ASIN(COS($A$10*$B$5)*COS($A$10*AG217)*COS($A$10*AI217)+SIN($A$10*$B$5)*SIN($A$10*AG217))/$A$10</f>
        <v>-27.4606244079274</v>
      </c>
      <c r="AL217" s="32" t="n">
        <f aca="false">ASIN((0.9983271+0.0016764*COS($A$10*2*$B$5))*COS($A$10*AK217)*SIN($A$10*AJ217))/$A$10</f>
        <v>0.842549838362865</v>
      </c>
      <c r="AM217" s="32" t="n">
        <f aca="false">AK217-AL217</f>
        <v>-28.3031742462903</v>
      </c>
      <c r="AN217" s="35" t="n">
        <f aca="false"> MOD(280.4664567 + 360007.6982779*L217/10 + 0.03032028*L217^2/100 + L217^3/49931000,360)</f>
        <v>132.55001670716</v>
      </c>
      <c r="AO217" s="32" t="n">
        <f aca="false"> AN217 + (1.9146 - 0.004817*L217 - 0.000014*L217^2)*SIN(Q217)+ (0.019993 - 0.000101*L217)*SIN(2*Q217)+ 0.00029*SIN(3*Q217)</f>
        <v>131.632551145236</v>
      </c>
      <c r="AP217" s="32" t="n">
        <f aca="false">ACOS(COS(W217-$A$10*AO217)*COS(Y217))/$A$10</f>
        <v>71.8985539063128</v>
      </c>
      <c r="AQ217" s="34" t="n">
        <f aca="false">180 - AP217 -0.1468*(1-0.0549*SIN(Q217))*SIN($A$10*AP217)/(1-0.0167*SIN($A$10*AO217))</f>
        <v>107.956360690996</v>
      </c>
      <c r="AR217" s="64" t="n">
        <f aca="false">SIN($A$10*AI217)</f>
        <v>0.819279863005914</v>
      </c>
      <c r="AS217" s="64" t="n">
        <f aca="false">COS($A$10*AI217)*SIN($A$10*$B$5) - TAN($A$10*AG217)*COS($A$10*$B$5)</f>
        <v>-0.358532492736908</v>
      </c>
      <c r="AT217" s="24" t="n">
        <f aca="false">IF(OR(AND(AR217*AS217&gt;0), AND(AR217&lt;0,AS217&gt;0)), MOD(ATAN2(AS217,AR217)/$A$10+360,360),  ATAN2(AS217,AR217)/$A$10)</f>
        <v>113.635103721591</v>
      </c>
      <c r="AU217" s="39" t="n">
        <f aca="false"> 385000.56 + (-20905355*COS(P217) - 3699111*COS(2*R217-P217) - 2955968*COS(2*R217) - 569925*COS(2*P217) + (1-0.002516*L217)*48888*COS(Q217) - 3149*COS(2*S217)  +246158*COS(2*R217-2*P217) -(1 - 0.002516*L217)*152138*COS(2*R217-Q217-P217) -170733*COS(2*R217+P217) -(1 - 0.002516*L217)*204586*COS(2*R217-Q217) -(1 - 0.002516*L217)*129620*COS(Q217-P217)  + 108743*COS(R217) +(1-0.002516*L217)*104755*COS(Q217+P217) +10321*COS(2*R217-2*S217) +79661*COS(P217-2*S217) -34782*COS(4*R217-P217) -23210*COS(3*P217)  -21636*COS(4*R217-2*P217) +(1 - 0.002516*L217)*24208*COS(2*R217+Q217-P217) +(1 - 0.002516*L217)*30824*COS(2*R217+Q217) -8379*COS(R217-P217) -(1 - 0.002516*L217)*16675*COS(R217+Q217)  -(1 - 0.002516*L217)*12831*COS(2*R217-Q217+P217) -10445*COS(2*R217+2*P217) -11650*COS(4*R217) +14403*COS(2*R217-3*P217) -(1-0.002516*L217)*7003*COS(Q217-2*P217)  + (1 - 0.002516*L217)*10056*COS(2*R217-Q217-2*P217) +6322*COS(R217+P217) -(1 - 0.002516*L217)*(1-0.002516*L217)*9884*COS(2*R217-2*Q217) +(1-0.002516*L217)*5751*COS(Q217+2*P217) - (1-0.002516*L217)^2*4950*COS(2*R217-2*Q217-P217)  +4130*COS(2*R217+P217-2*S217) -(1-0.002516*L217)*3958*COS(4*R217-Q217-P217) +3258*COS(3*R217-P217) +(1 - 0.002516*L217)*2616*COS(2*R217+Q217+P217) -(1 - 0.002516*L217)*1897*COS(4*R217-Q217-2*P217)  -(1-0.002516*L217)^2*2117*COS(2*Q217-P217) +(1-0.002516*L217)^2*2354*COS(2*R217+2*Q217-P217) -1423*COS(4*R217+P217) -1117*COS(4*P217) -(1-0.002516*L217)*1571*COS(4*R217-Q217)  -1739*COS(R217-2*P217) -4421*COS(2*P217-2*S217) +(1-0.002516*L217)^2*1165*COS(2*Q217+P217) +8752*COS(2*R217-P217-2*S217))/1000</f>
        <v>384110.869383531</v>
      </c>
      <c r="AV217" s="54" t="n">
        <f aca="false">ATAN(0.99664719*TAN($A$10*input!$E$2))</f>
        <v>0.871010436227447</v>
      </c>
      <c r="AW217" s="54" t="n">
        <f aca="false">COS(AV217)</f>
        <v>0.644053912545845</v>
      </c>
      <c r="AX217" s="54" t="n">
        <f aca="false">0.99664719*SIN(AV217)</f>
        <v>0.762415269897027</v>
      </c>
      <c r="AY217" s="54" t="n">
        <f aca="false">6378.14/AU217</f>
        <v>0.0166049453644372</v>
      </c>
      <c r="AZ217" s="55" t="n">
        <f aca="false">M217-15*AH217</f>
        <v>124.987229881915</v>
      </c>
      <c r="BA217" s="56" t="n">
        <f aca="false">COS($A$10*AG217)*SIN($A$10*AZ217)</f>
        <v>0.81289646495342</v>
      </c>
      <c r="BB217" s="56" t="n">
        <f aca="false">COS($A$10*AG217)*COS($A$10*AZ217)-AW217*AY217</f>
        <v>-0.579620745554268</v>
      </c>
      <c r="BC217" s="56" t="n">
        <f aca="false">SIN($A$10*AG217)-AX217*AY217</f>
        <v>-0.137248152526065</v>
      </c>
      <c r="BD217" s="57" t="n">
        <f aca="false">SQRT(BA217^2+BB217^2+BC217^2)</f>
        <v>1.0077687863704</v>
      </c>
      <c r="BE217" s="58" t="n">
        <f aca="false">AU217*BD217</f>
        <v>387094.94467032</v>
      </c>
    </row>
    <row r="218" customFormat="false" ht="15" hidden="false" customHeight="false" outlineLevel="0" collapsed="false">
      <c r="D218" s="41" t="n">
        <f aca="false">K218-INT(275*E218/9)+IF($A$8="common year",2,1)*INT((E218+9)/12)+30</f>
        <v>5</v>
      </c>
      <c r="E218" s="41" t="n">
        <f aca="false">IF(K218&lt;32,1,INT(9*(IF($A$8="common year",2,1)+K218)/275+0.98))</f>
        <v>8</v>
      </c>
      <c r="F218" s="42" t="n">
        <f aca="false">AM218</f>
        <v>-25.8520533847323</v>
      </c>
      <c r="G218" s="60" t="n">
        <f aca="false">F218+1.02/(TAN($A$10*(F218+10.3/(F218+5.11)))*60)</f>
        <v>-25.886376898891</v>
      </c>
      <c r="H218" s="43" t="n">
        <f aca="false">100*(1+COS($A$10*AQ218))/2</f>
        <v>45.0645542286417</v>
      </c>
      <c r="I218" s="43" t="n">
        <f aca="false">IF(AI218&gt;180,AT218-180,AT218+180)</f>
        <v>280.056907534126</v>
      </c>
      <c r="J218" s="61" t="n">
        <f aca="false">$J$2+K217</f>
        <v>2459796.5</v>
      </c>
      <c r="K218" s="21" t="n">
        <v>217</v>
      </c>
      <c r="L218" s="62" t="n">
        <f aca="false">(J218-2451545)/36525</f>
        <v>0.225913757700205</v>
      </c>
      <c r="M218" s="63" t="n">
        <f aca="false">MOD(280.46061837+360.98564736629*(J218-2451545)+0.000387933*L218^2-L218^3/38710000+$B$7,360)</f>
        <v>328.529881110415</v>
      </c>
      <c r="N218" s="30" t="n">
        <f aca="false">0.606433+1336.855225*L218 - INT(0.606433+1336.855225*L218)</f>
        <v>0.620420380903454</v>
      </c>
      <c r="O218" s="35" t="n">
        <f aca="false">22640*SIN(P218)-4586*SIN(P218-2*R218)+2370*SIN(2*R218)+769*SIN(2*P218)-668*SIN(Q218)-412*SIN(2*S218)-212*SIN(2*P218-2*R218)-206*SIN(P218+Q218-2*R218)+192*SIN(P218+2*R218)-165*SIN(Q218-2*R218)-125*SIN(R218)-110*SIN(P218+Q218)+148*SIN(P218-Q218)-55*SIN(2*S218-2*R218)</f>
        <v>-23684.6629066734</v>
      </c>
      <c r="P218" s="32" t="n">
        <f aca="false">2*PI()*(0.374897+1325.55241*L218 - INT(0.374897+1325.55241*L218))</f>
        <v>5.24911734083457</v>
      </c>
      <c r="Q218" s="36" t="n">
        <f aca="false">2*PI()*(0.993133+99.997361*L218 - INT(0.993133+99.997361*L218))</f>
        <v>3.66883096604052</v>
      </c>
      <c r="R218" s="36" t="n">
        <f aca="false">2*PI()*(0.827361+1236.853086*L218 - INT(0.827361+1236.853086*L218))</f>
        <v>1.5675880152287</v>
      </c>
      <c r="S218" s="36" t="n">
        <f aca="false">2*PI()*(0.259086+1342.227825*L218 - INT(0.259086+1342.227825*L218))</f>
        <v>3.05876541479784</v>
      </c>
      <c r="T218" s="36" t="n">
        <f aca="false">S218+(O218+412*SIN(2*S218)+541*SIN(Q218))/206264.8062</f>
        <v>2.94228987698196</v>
      </c>
      <c r="U218" s="36" t="n">
        <f aca="false">S218-2*R218</f>
        <v>-0.0764106156595616</v>
      </c>
      <c r="V218" s="34" t="n">
        <f aca="false">-526*SIN(U218)+44*SIN(P218+U218)-31*SIN(-P218+U218)-23*SIN(Q218+U218)+11*SIN(-Q218+U218)-25*SIN(-2*P218+S218)+21*SIN(-P218+S218)</f>
        <v>-2.56898422658305</v>
      </c>
      <c r="W218" s="36" t="n">
        <f aca="false">2*PI()*(N218+O218/1296000-INT(N218+O218/1296000))</f>
        <v>3.78338973547112</v>
      </c>
      <c r="X218" s="35" t="n">
        <f aca="false">W218*180/PI()</f>
        <v>216.772264095612</v>
      </c>
      <c r="Y218" s="36" t="n">
        <f aca="false">(18520*SIN(T218)+V218)/206264.8062</f>
        <v>0.0177642081116606</v>
      </c>
      <c r="Z218" s="36" t="n">
        <f aca="false">Y218*180/PI()</f>
        <v>1.01781415119021</v>
      </c>
      <c r="AA218" s="36" t="n">
        <f aca="false">COS(Y218)*COS(W218)</f>
        <v>-0.800894869520158</v>
      </c>
      <c r="AB218" s="36" t="n">
        <f aca="false">COS(Y218)*SIN(W218)</f>
        <v>-0.598541455606255</v>
      </c>
      <c r="AC218" s="36" t="n">
        <f aca="false">SIN(Y218)</f>
        <v>0.0177632738264927</v>
      </c>
      <c r="AD218" s="36" t="n">
        <f aca="false">COS($A$10*(23.4393-46.815*L218/3600))*AB218-SIN($A$10*(23.4393-46.815*L218/3600))*AC218</f>
        <v>-0.556228210462229</v>
      </c>
      <c r="AE218" s="36" t="n">
        <f aca="false">SIN($A$10*(23.4393-46.815*L218/3600))*AB218+COS($A$10*(23.4393-46.815*L218/3600))*AC218</f>
        <v>-0.22176019900396</v>
      </c>
      <c r="AF218" s="36" t="n">
        <f aca="false">SQRT(1-AE218*AE218)</f>
        <v>0.975101232763924</v>
      </c>
      <c r="AG218" s="35" t="n">
        <f aca="false">ATAN(AE218/AF218)/$A$10</f>
        <v>-12.8124390125877</v>
      </c>
      <c r="AH218" s="36" t="n">
        <f aca="false">IF(24*ATAN(AD218/(AA218+AF218))/PI()&gt;0,24*ATAN(AD218/(AA218+AF218))/PI(),24*ATAN(AD218/(AA218+AF218))/PI()+24)</f>
        <v>14.3186868849017</v>
      </c>
      <c r="AI218" s="63" t="n">
        <f aca="false">IF(M218-15*AH218&gt;0,M218-15*AH218,360+M218-15*AH218)</f>
        <v>113.74957783689</v>
      </c>
      <c r="AJ218" s="32" t="n">
        <f aca="false">0.950724+0.051818*COS(P218)+0.009531*COS(2*R218-P218)+0.007843*COS(2*R218)+0.002824*COS(2*P218)+0.000857*COS(2*R218+P218)+0.000533*COS(2*R218-Q218)*(1-0.002495*(J218-2415020)/36525)+0.000401*COS(2*R218-Q218-P218)*(1-0.002495*(J218-2415020)/36525)+0.00032*COS(P218-Q218)*(1-0.002495*(J218-2415020)/36525)-0.000271*COS(R218)</f>
        <v>0.963474765766485</v>
      </c>
      <c r="AK218" s="36" t="n">
        <f aca="false">ASIN(COS($A$10*$B$5)*COS($A$10*AG218)*COS($A$10*AI218)+SIN($A$10*$B$5)*SIN($A$10*AG218))/$A$10</f>
        <v>-24.9804324020295</v>
      </c>
      <c r="AL218" s="32" t="n">
        <f aca="false">ASIN((0.9983271+0.0016764*COS($A$10*2*$B$5))*COS($A$10*AK218)*SIN($A$10*AJ218))/$A$10</f>
        <v>0.87162098270281</v>
      </c>
      <c r="AM218" s="32" t="n">
        <f aca="false">AK218-AL218</f>
        <v>-25.8520533847323</v>
      </c>
      <c r="AN218" s="35" t="n">
        <f aca="false"> MOD(280.4664567 + 360007.6982779*L218/10 + 0.03032028*L218^2/100 + L218^3/49931000,360)</f>
        <v>133.535664071012</v>
      </c>
      <c r="AO218" s="32" t="n">
        <f aca="false"> AN218 + (1.9146 - 0.004817*L218 - 0.000014*L218^2)*SIN(Q218)+ (0.019993 - 0.000101*L218)*SIN(2*Q218)+ 0.00029*SIN(3*Q218)</f>
        <v>132.589960562258</v>
      </c>
      <c r="AP218" s="32" t="n">
        <f aca="false">ACOS(COS(W218-$A$10*AO218)*COS(Y218))/$A$10</f>
        <v>84.1832246128429</v>
      </c>
      <c r="AQ218" s="34" t="n">
        <f aca="false">180 - AP218 -0.1468*(1-0.0549*SIN(Q218))*SIN($A$10*AP218)/(1-0.0167*SIN($A$10*AO218))</f>
        <v>95.6648289407907</v>
      </c>
      <c r="AR218" s="64" t="n">
        <f aca="false">SIN($A$10*AI218)</f>
        <v>0.915314446587088</v>
      </c>
      <c r="AS218" s="64" t="n">
        <f aca="false">COS($A$10*AI218)*SIN($A$10*$B$5) - TAN($A$10*AG218)*COS($A$10*$B$5)</f>
        <v>-0.162332174787537</v>
      </c>
      <c r="AT218" s="24" t="n">
        <f aca="false">IF(OR(AND(AR218*AS218&gt;0), AND(AR218&lt;0,AS218&gt;0)), MOD(ATAN2(AS218,AR218)/$A$10+360,360),  ATAN2(AS218,AR218)/$A$10)</f>
        <v>100.056907534126</v>
      </c>
      <c r="AU218" s="39" t="n">
        <f aca="false"> 385000.56 + (-20905355*COS(P218) - 3699111*COS(2*R218-P218) - 2955968*COS(2*R218) - 569925*COS(2*P218) + (1-0.002516*L218)*48888*COS(Q218) - 3149*COS(2*S218)  +246158*COS(2*R218-2*P218) -(1 - 0.002516*L218)*152138*COS(2*R218-Q218-P218) -170733*COS(2*R218+P218) -(1 - 0.002516*L218)*204586*COS(2*R218-Q218) -(1 - 0.002516*L218)*129620*COS(Q218-P218)  + 108743*COS(R218) +(1-0.002516*L218)*104755*COS(Q218+P218) +10321*COS(2*R218-2*S218) +79661*COS(P218-2*S218) -34782*COS(4*R218-P218) -23210*COS(3*P218)  -21636*COS(4*R218-2*P218) +(1 - 0.002516*L218)*24208*COS(2*R218+Q218-P218) +(1 - 0.002516*L218)*30824*COS(2*R218+Q218) -8379*COS(R218-P218) -(1 - 0.002516*L218)*16675*COS(R218+Q218)  -(1 - 0.002516*L218)*12831*COS(2*R218-Q218+P218) -10445*COS(2*R218+2*P218) -11650*COS(4*R218) +14403*COS(2*R218-3*P218) -(1-0.002516*L218)*7003*COS(Q218-2*P218)  + (1 - 0.002516*L218)*10056*COS(2*R218-Q218-2*P218) +6322*COS(R218+P218) -(1 - 0.002516*L218)*(1-0.002516*L218)*9884*COS(2*R218-2*Q218) +(1-0.002516*L218)*5751*COS(Q218+2*P218) - (1-0.002516*L218)^2*4950*COS(2*R218-2*Q218-P218)  +4130*COS(2*R218+P218-2*S218) -(1-0.002516*L218)*3958*COS(4*R218-Q218-P218) +3258*COS(3*R218-P218) +(1 - 0.002516*L218)*2616*COS(2*R218+Q218+P218) -(1 - 0.002516*L218)*1897*COS(4*R218-Q218-2*P218)  -(1-0.002516*L218)^2*2117*COS(2*Q218-P218) +(1-0.002516*L218)^2*2354*COS(2*R218+2*Q218-P218) -1423*COS(4*R218+P218) -1117*COS(4*P218) -(1-0.002516*L218)*1571*COS(4*R218-Q218)  -1739*COS(R218-2*P218) -4421*COS(2*P218-2*S218) +(1-0.002516*L218)^2*1165*COS(2*Q218+P218) +8752*COS(2*R218-P218-2*S218))/1000</f>
        <v>379308.115957351</v>
      </c>
      <c r="AV218" s="54" t="n">
        <f aca="false">ATAN(0.99664719*TAN($A$10*input!$E$2))</f>
        <v>0.871010436227447</v>
      </c>
      <c r="AW218" s="54" t="n">
        <f aca="false">COS(AV218)</f>
        <v>0.644053912545845</v>
      </c>
      <c r="AX218" s="54" t="n">
        <f aca="false">0.99664719*SIN(AV218)</f>
        <v>0.762415269897027</v>
      </c>
      <c r="AY218" s="54" t="n">
        <f aca="false">6378.14/AU218</f>
        <v>0.0168151951716139</v>
      </c>
      <c r="AZ218" s="55" t="n">
        <f aca="false">M218-15*AH218</f>
        <v>113.74957783689</v>
      </c>
      <c r="BA218" s="56" t="n">
        <f aca="false">COS($A$10*AG218)*SIN($A$10*AZ218)</f>
        <v>0.892524245233698</v>
      </c>
      <c r="BB218" s="56" t="n">
        <f aca="false">COS($A$10*AG218)*COS($A$10*AZ218)-AW218*AY218</f>
        <v>-0.403542109783756</v>
      </c>
      <c r="BC218" s="56" t="n">
        <f aca="false">SIN($A$10*AG218)-AX218*AY218</f>
        <v>-0.234580360569097</v>
      </c>
      <c r="BD218" s="57" t="n">
        <f aca="false">SQRT(BA218^2+BB218^2+BC218^2)</f>
        <v>1.00721085591024</v>
      </c>
      <c r="BE218" s="58" t="n">
        <f aca="false">AU218*BD218</f>
        <v>382043.252127104</v>
      </c>
    </row>
    <row r="219" customFormat="false" ht="15" hidden="false" customHeight="false" outlineLevel="0" collapsed="false">
      <c r="D219" s="41" t="n">
        <f aca="false">K219-INT(275*E219/9)+IF($A$8="common year",2,1)*INT((E219+9)/12)+30</f>
        <v>6</v>
      </c>
      <c r="E219" s="41" t="n">
        <f aca="false">IF(K219&lt;32,1,INT(9*(IF($A$8="common year",2,1)+K219)/275+0.98))</f>
        <v>8</v>
      </c>
      <c r="F219" s="42" t="n">
        <f aca="false">AM219</f>
        <v>-22.0152319607362</v>
      </c>
      <c r="G219" s="60" t="n">
        <f aca="false">F219+1.02/(TAN($A$10*(F219+10.3/(F219+5.11)))*60)</f>
        <v>-22.0560226442262</v>
      </c>
      <c r="H219" s="43" t="n">
        <f aca="false">100*(1+COS($A$10*AQ219))/2</f>
        <v>56.0682571867316</v>
      </c>
      <c r="I219" s="43" t="n">
        <f aca="false">IF(AI219&gt;180,AT219-180,AT219+180)</f>
        <v>266.821477175015</v>
      </c>
      <c r="J219" s="61" t="n">
        <f aca="false">$J$2+K218</f>
        <v>2459797.5</v>
      </c>
      <c r="K219" s="21" t="n">
        <v>218</v>
      </c>
      <c r="L219" s="62" t="n">
        <f aca="false">(J219-2451545)/36525</f>
        <v>0.225941136208077</v>
      </c>
      <c r="M219" s="63" t="n">
        <f aca="false">MOD(280.46061837+360.98564736629*(J219-2451545)+0.000387933*L219^2-L219^3/38710000+$B$7,360)</f>
        <v>329.515528481454</v>
      </c>
      <c r="N219" s="30" t="n">
        <f aca="false">0.606433+1336.855225*L219 - INT(0.606433+1336.855225*L219)</f>
        <v>0.657021482203959</v>
      </c>
      <c r="O219" s="35" t="n">
        <f aca="false">22640*SIN(P219)-4586*SIN(P219-2*R219)+2370*SIN(2*R219)+769*SIN(2*P219)-668*SIN(Q219)-412*SIN(2*S219)-212*SIN(2*P219-2*R219)-206*SIN(P219+Q219-2*R219)+192*SIN(P219+2*R219)-165*SIN(Q219-2*R219)-125*SIN(R219)-110*SIN(P219+Q219)+148*SIN(P219-Q219)-55*SIN(2*S219-2*R219)</f>
        <v>-22179.2912078738</v>
      </c>
      <c r="P219" s="32" t="n">
        <f aca="false">2*PI()*(0.374897+1325.55241*L219 - INT(0.374897+1325.55241*L219))</f>
        <v>5.47714448461038</v>
      </c>
      <c r="Q219" s="36" t="n">
        <f aca="false">2*PI()*(0.993133+99.997361*L219 - INT(0.993133+99.997361*L219))</f>
        <v>3.6860329359075</v>
      </c>
      <c r="R219" s="36" t="n">
        <f aca="false">2*PI()*(0.827361+1236.853086*L219 - INT(0.827361+1236.853086*L219))</f>
        <v>1.78035672534737</v>
      </c>
      <c r="S219" s="36" t="n">
        <f aca="false">2*PI()*(0.259086+1342.227825*L219 - INT(0.259086+1342.227825*L219))</f>
        <v>3.28966113413884</v>
      </c>
      <c r="T219" s="36" t="n">
        <f aca="false">S219+(O219+412*SIN(2*S219)+541*SIN(Q219))/206264.8062</f>
        <v>3.18135732851104</v>
      </c>
      <c r="U219" s="36" t="n">
        <f aca="false">S219-2*R219</f>
        <v>-0.271052316555891</v>
      </c>
      <c r="V219" s="34" t="n">
        <f aca="false">-526*SIN(U219)+44*SIN(P219+U219)-31*SIN(-P219+U219)-23*SIN(Q219+U219)+11*SIN(-Q219+U219)-25*SIN(-2*P219+S219)+21*SIN(-P219+S219)</f>
        <v>107.923620248268</v>
      </c>
      <c r="W219" s="36" t="n">
        <f aca="false">2*PI()*(N219+O219/1296000-INT(N219+O219/1296000))</f>
        <v>4.02065948533637</v>
      </c>
      <c r="X219" s="35" t="n">
        <f aca="false">W219*180/PI()</f>
        <v>230.366819369016</v>
      </c>
      <c r="Y219" s="36" t="n">
        <f aca="false">(18520*SIN(T219)+V219)/206264.8062</f>
        <v>-0.00304620117047832</v>
      </c>
      <c r="Z219" s="36" t="n">
        <f aca="false">Y219*180/PI()</f>
        <v>-0.174534470616219</v>
      </c>
      <c r="AA219" s="36" t="n">
        <f aca="false">COS(Y219)*COS(W219)</f>
        <v>-0.637867136226162</v>
      </c>
      <c r="AB219" s="36" t="n">
        <f aca="false">COS(Y219)*SIN(W219)</f>
        <v>-0.770140400972294</v>
      </c>
      <c r="AC219" s="36" t="n">
        <f aca="false">SIN(Y219)</f>
        <v>-0.00304619645935698</v>
      </c>
      <c r="AD219" s="36" t="n">
        <f aca="false">COS($A$10*(23.4393-46.815*L219/3600))*AB219-SIN($A$10*(23.4393-46.815*L219/3600))*AC219</f>
        <v>-0.705394099835804</v>
      </c>
      <c r="AE219" s="36" t="n">
        <f aca="false">SIN($A$10*(23.4393-46.815*L219/3600))*AB219+COS($A$10*(23.4393-46.815*L219/3600))*AC219</f>
        <v>-0.309103025607111</v>
      </c>
      <c r="AF219" s="36" t="n">
        <f aca="false">SQRT(1-AE219*AE219)</f>
        <v>0.951028558751276</v>
      </c>
      <c r="AG219" s="35" t="n">
        <f aca="false">ATAN(AE219/AF219)/$A$10</f>
        <v>-18.0051829716458</v>
      </c>
      <c r="AH219" s="36" t="n">
        <f aca="false">IF(24*ATAN(AD219/(AA219+AF219))/PI()&gt;0,24*ATAN(AD219/(AA219+AF219))/PI(),24*ATAN(AD219/(AA219+AF219))/PI()+24)</f>
        <v>15.1918592174231</v>
      </c>
      <c r="AI219" s="63" t="n">
        <f aca="false">IF(M219-15*AH219&gt;0,M219-15*AH219,360+M219-15*AH219)</f>
        <v>101.637640220108</v>
      </c>
      <c r="AJ219" s="32" t="n">
        <f aca="false">0.950724+0.051818*COS(P219)+0.009531*COS(2*R219-P219)+0.007843*COS(2*R219)+0.002824*COS(2*P219)+0.000857*COS(2*R219+P219)+0.000533*COS(2*R219-Q219)*(1-0.002495*(J219-2415020)/36525)+0.000401*COS(2*R219-Q219-P219)*(1-0.002495*(J219-2415020)/36525)+0.00032*COS(P219-Q219)*(1-0.002495*(J219-2415020)/36525)-0.000271*COS(R219)</f>
        <v>0.976121860128169</v>
      </c>
      <c r="AK219" s="36" t="n">
        <f aca="false">ASIN(COS($A$10*$B$5)*COS($A$10*AG219)*COS($A$10*AI219)+SIN($A$10*$B$5)*SIN($A$10*AG219))/$A$10</f>
        <v>-21.1063891584798</v>
      </c>
      <c r="AL219" s="32" t="n">
        <f aca="false">ASIN((0.9983271+0.0016764*COS($A$10*2*$B$5))*COS($A$10*AK219)*SIN($A$10*AJ219))/$A$10</f>
        <v>0.908842802256383</v>
      </c>
      <c r="AM219" s="32" t="n">
        <f aca="false">AK219-AL219</f>
        <v>-22.0152319607362</v>
      </c>
      <c r="AN219" s="35" t="n">
        <f aca="false"> MOD(280.4664567 + 360007.6982779*L219/10 + 0.03032028*L219^2/100 + L219^3/49931000,360)</f>
        <v>134.521311434868</v>
      </c>
      <c r="AO219" s="32" t="n">
        <f aca="false"> AN219 + (1.9146 - 0.004817*L219 - 0.000014*L219^2)*SIN(Q219)+ (0.019993 - 0.000101*L219)*SIN(2*Q219)+ 0.00029*SIN(3*Q219)</f>
        <v>133.547635088415</v>
      </c>
      <c r="AP219" s="32" t="n">
        <f aca="false">ACOS(COS(W219-$A$10*AO219)*COS(Y219))/$A$10</f>
        <v>96.8191524916161</v>
      </c>
      <c r="AQ219" s="34" t="n">
        <f aca="false">180 - AP219 -0.1468*(1-0.0549*SIN(Q219))*SIN($A$10*AP219)/(1-0.0167*SIN($A$10*AO219))</f>
        <v>83.0291045544568</v>
      </c>
      <c r="AR219" s="64" t="n">
        <f aca="false">SIN($A$10*AI219)</f>
        <v>0.979442940937264</v>
      </c>
      <c r="AS219" s="64" t="n">
        <f aca="false">COS($A$10*AI219)*SIN($A$10*$B$5) - TAN($A$10*AG219)*COS($A$10*$B$5)</f>
        <v>0.0543910802154526</v>
      </c>
      <c r="AT219" s="24" t="n">
        <f aca="false">IF(OR(AND(AR219*AS219&gt;0), AND(AR219&lt;0,AS219&gt;0)), MOD(ATAN2(AS219,AR219)/$A$10+360,360),  ATAN2(AS219,AR219)/$A$10)</f>
        <v>86.8214771750154</v>
      </c>
      <c r="AU219" s="39" t="n">
        <f aca="false"> 385000.56 + (-20905355*COS(P219) - 3699111*COS(2*R219-P219) - 2955968*COS(2*R219) - 569925*COS(2*P219) + (1-0.002516*L219)*48888*COS(Q219) - 3149*COS(2*S219)  +246158*COS(2*R219-2*P219) -(1 - 0.002516*L219)*152138*COS(2*R219-Q219-P219) -170733*COS(2*R219+P219) -(1 - 0.002516*L219)*204586*COS(2*R219-Q219) -(1 - 0.002516*L219)*129620*COS(Q219-P219)  + 108743*COS(R219) +(1-0.002516*L219)*104755*COS(Q219+P219) +10321*COS(2*R219-2*S219) +79661*COS(P219-2*S219) -34782*COS(4*R219-P219) -23210*COS(3*P219)  -21636*COS(4*R219-2*P219) +(1 - 0.002516*L219)*24208*COS(2*R219+Q219-P219) +(1 - 0.002516*L219)*30824*COS(2*R219+Q219) -8379*COS(R219-P219) -(1 - 0.002516*L219)*16675*COS(R219+Q219)  -(1 - 0.002516*L219)*12831*COS(2*R219-Q219+P219) -10445*COS(2*R219+2*P219) -11650*COS(4*R219) +14403*COS(2*R219-3*P219) -(1-0.002516*L219)*7003*COS(Q219-2*P219)  + (1 - 0.002516*L219)*10056*COS(2*R219-Q219-2*P219) +6322*COS(R219+P219) -(1 - 0.002516*L219)*(1-0.002516*L219)*9884*COS(2*R219-2*Q219) +(1-0.002516*L219)*5751*COS(Q219+2*P219) - (1-0.002516*L219)^2*4950*COS(2*R219-2*Q219-P219)  +4130*COS(2*R219+P219-2*S219) -(1-0.002516*L219)*3958*COS(4*R219-Q219-P219) +3258*COS(3*R219-P219) +(1 - 0.002516*L219)*2616*COS(2*R219+Q219+P219) -(1 - 0.002516*L219)*1897*COS(4*R219-Q219-2*P219)  -(1-0.002516*L219)^2*2117*COS(2*Q219-P219) +(1-0.002516*L219)^2*2354*COS(2*R219+2*Q219-P219) -1423*COS(4*R219+P219) -1117*COS(4*P219) -(1-0.002516*L219)*1571*COS(4*R219-Q219)  -1739*COS(R219-2*P219) -4421*COS(2*P219-2*S219) +(1-0.002516*L219)^2*1165*COS(2*Q219+P219) +8752*COS(2*R219-P219-2*S219))/1000</f>
        <v>374399.270557613</v>
      </c>
      <c r="AV219" s="54" t="n">
        <f aca="false">ATAN(0.99664719*TAN($A$10*input!$E$2))</f>
        <v>0.871010436227447</v>
      </c>
      <c r="AW219" s="54" t="n">
        <f aca="false">COS(AV219)</f>
        <v>0.644053912545845</v>
      </c>
      <c r="AX219" s="54" t="n">
        <f aca="false">0.99664719*SIN(AV219)</f>
        <v>0.762415269897027</v>
      </c>
      <c r="AY219" s="54" t="n">
        <f aca="false">6378.14/AU219</f>
        <v>0.0170356635324121</v>
      </c>
      <c r="AZ219" s="55" t="n">
        <f aca="false">M219-15*AH219</f>
        <v>101.637640220108</v>
      </c>
      <c r="BA219" s="56" t="n">
        <f aca="false">COS($A$10*AG219)*SIN($A$10*AZ219)</f>
        <v>0.931478208498677</v>
      </c>
      <c r="BB219" s="56" t="n">
        <f aca="false">COS($A$10*AG219)*COS($A$10*AZ219)-AW219*AY219</f>
        <v>-0.202814703319375</v>
      </c>
      <c r="BC219" s="56" t="n">
        <f aca="false">SIN($A$10*AG219)-AX219*AY219</f>
        <v>-0.32209127561705</v>
      </c>
      <c r="BD219" s="57" t="n">
        <f aca="false">SQRT(BA219^2+BB219^2+BC219^2)</f>
        <v>1.00624462563487</v>
      </c>
      <c r="BE219" s="58" t="n">
        <f aca="false">AU219*BD219</f>
        <v>376737.253840212</v>
      </c>
    </row>
    <row r="220" customFormat="false" ht="15" hidden="false" customHeight="false" outlineLevel="0" collapsed="false">
      <c r="D220" s="41" t="n">
        <f aca="false">K220-INT(275*E220/9)+IF($A$8="common year",2,1)*INT((E220+9)/12)+30</f>
        <v>7</v>
      </c>
      <c r="E220" s="41" t="n">
        <f aca="false">IF(K220&lt;32,1,INT(9*(IF($A$8="common year",2,1)+K220)/275+0.98))</f>
        <v>8</v>
      </c>
      <c r="F220" s="42" t="n">
        <f aca="false">AM220</f>
        <v>-16.9219566081017</v>
      </c>
      <c r="G220" s="60" t="n">
        <f aca="false">F220+1.02/(TAN($A$10*(F220+10.3/(F220+5.11)))*60)</f>
        <v>-16.974924609806</v>
      </c>
      <c r="H220" s="43" t="n">
        <f aca="false">100*(1+COS($A$10*AQ220))/2</f>
        <v>67.0725127871121</v>
      </c>
      <c r="I220" s="43" t="n">
        <f aca="false">IF(AI220&gt;180,AT220-180,AT220+180)</f>
        <v>254.05224461635</v>
      </c>
      <c r="J220" s="61" t="n">
        <f aca="false">$J$2+K219</f>
        <v>2459798.5</v>
      </c>
      <c r="K220" s="21" t="n">
        <v>219</v>
      </c>
      <c r="L220" s="62" t="n">
        <f aca="false">(J220-2451545)/36525</f>
        <v>0.225968514715948</v>
      </c>
      <c r="M220" s="63" t="n">
        <f aca="false">MOD(280.46061837+360.98564736629*(J220-2451545)+0.000387933*L220^2-L220^3/38710000+$B$7,360)</f>
        <v>330.501175852958</v>
      </c>
      <c r="N220" s="30" t="n">
        <f aca="false">0.606433+1336.855225*L220 - INT(0.606433+1336.855225*L220)</f>
        <v>0.693622583504407</v>
      </c>
      <c r="O220" s="35" t="n">
        <f aca="false">22640*SIN(P220)-4586*SIN(P220-2*R220)+2370*SIN(2*R220)+769*SIN(2*P220)-668*SIN(Q220)-412*SIN(2*S220)-212*SIN(2*P220-2*R220)-206*SIN(P220+Q220-2*R220)+192*SIN(P220+2*R220)-165*SIN(Q220-2*R220)-125*SIN(R220)-110*SIN(P220+Q220)+148*SIN(P220-Q220)-55*SIN(2*S220-2*R220)</f>
        <v>-19335.9046390685</v>
      </c>
      <c r="P220" s="32" t="n">
        <f aca="false">2*PI()*(0.374897+1325.55241*L220 - INT(0.374897+1325.55241*L220))</f>
        <v>5.7051716283862</v>
      </c>
      <c r="Q220" s="36" t="n">
        <f aca="false">2*PI()*(0.993133+99.997361*L220 - INT(0.993133+99.997361*L220))</f>
        <v>3.70323490577451</v>
      </c>
      <c r="R220" s="36" t="n">
        <f aca="false">2*PI()*(0.827361+1236.853086*L220 - INT(0.827361+1236.853086*L220))</f>
        <v>1.99312543546639</v>
      </c>
      <c r="S220" s="36" t="n">
        <f aca="false">2*PI()*(0.259086+1342.227825*L220 - INT(0.259086+1342.227825*L220))</f>
        <v>3.52055685347985</v>
      </c>
      <c r="T220" s="36" t="n">
        <f aca="false">S220+(O220+412*SIN(2*S220)+541*SIN(Q220))/206264.8062</f>
        <v>3.42678994912139</v>
      </c>
      <c r="U220" s="36" t="n">
        <f aca="false">S220-2*R220</f>
        <v>-0.465694017452936</v>
      </c>
      <c r="V220" s="34" t="n">
        <f aca="false">-526*SIN(U220)+44*SIN(P220+U220)-31*SIN(-P220+U220)-23*SIN(Q220+U220)+11*SIN(-Q220+U220)-25*SIN(-2*P220+S220)+21*SIN(-P220+S220)</f>
        <v>214.129953440085</v>
      </c>
      <c r="W220" s="36" t="n">
        <f aca="false">2*PI()*(N220+O220/1296000-INT(N220+O220/1296000))</f>
        <v>4.26441611434634</v>
      </c>
      <c r="X220" s="35" t="n">
        <f aca="false">W220*180/PI()</f>
        <v>244.333045439623</v>
      </c>
      <c r="Y220" s="36" t="n">
        <f aca="false">(18520*SIN(T220)+V220)/206264.8062</f>
        <v>-0.0242232911937562</v>
      </c>
      <c r="Z220" s="36" t="n">
        <f aca="false">Y220*180/PI()</f>
        <v>-1.38789235131864</v>
      </c>
      <c r="AA220" s="36" t="n">
        <f aca="false">COS(Y220)*COS(W220)</f>
        <v>-0.433012244868248</v>
      </c>
      <c r="AB220" s="36" t="n">
        <f aca="false">COS(Y220)*SIN(W220)</f>
        <v>-0.901062563152206</v>
      </c>
      <c r="AC220" s="36" t="n">
        <f aca="false">SIN(Y220)</f>
        <v>-0.0242209223552284</v>
      </c>
      <c r="AD220" s="36" t="n">
        <f aca="false">COS($A$10*(23.4393-46.815*L220/3600))*AB220-SIN($A$10*(23.4393-46.815*L220/3600))*AC220</f>
        <v>-0.817093670895664</v>
      </c>
      <c r="AE220" s="36" t="n">
        <f aca="false">SIN($A$10*(23.4393-46.815*L220/3600))*AB220+COS($A$10*(23.4393-46.815*L220/3600))*AC220</f>
        <v>-0.380602586402679</v>
      </c>
      <c r="AF220" s="36" t="n">
        <f aca="false">SQRT(1-AE220*AE220)</f>
        <v>0.924738704296295</v>
      </c>
      <c r="AG220" s="35" t="n">
        <f aca="false">ATAN(AE220/AF220)/$A$10</f>
        <v>-22.3710132370913</v>
      </c>
      <c r="AH220" s="36" t="n">
        <f aca="false">IF(24*ATAN(AD220/(AA220+AF220))/PI()&gt;0,24*ATAN(AD220/(AA220+AF220))/PI(),24*ATAN(AD220/(AA220+AF220))/PI()+24)</f>
        <v>16.1386003497097</v>
      </c>
      <c r="AI220" s="63" t="n">
        <f aca="false">IF(M220-15*AH220&gt;0,M220-15*AH220,360+M220-15*AH220)</f>
        <v>88.4221706073125</v>
      </c>
      <c r="AJ220" s="32" t="n">
        <f aca="false">0.950724+0.051818*COS(P220)+0.009531*COS(2*R220-P220)+0.007843*COS(2*R220)+0.002824*COS(2*P220)+0.000857*COS(2*R220+P220)+0.000533*COS(2*R220-Q220)*(1-0.002495*(J220-2415020)/36525)+0.000401*COS(2*R220-Q220-P220)*(1-0.002495*(J220-2415020)/36525)+0.00032*COS(P220-Q220)*(1-0.002495*(J220-2415020)/36525)-0.000271*COS(R220)</f>
        <v>0.988569677155642</v>
      </c>
      <c r="AK220" s="36" t="n">
        <f aca="false">ASIN(COS($A$10*$B$5)*COS($A$10*AG220)*COS($A$10*AI220)+SIN($A$10*$B$5)*SIN($A$10*AG220))/$A$10</f>
        <v>-15.9734264930649</v>
      </c>
      <c r="AL220" s="32" t="n">
        <f aca="false">ASIN((0.9983271+0.0016764*COS($A$10*2*$B$5))*COS($A$10*AK220)*SIN($A$10*AJ220))/$A$10</f>
        <v>0.948530115036784</v>
      </c>
      <c r="AM220" s="32" t="n">
        <f aca="false">AK220-AL220</f>
        <v>-16.9219566081017</v>
      </c>
      <c r="AN220" s="35" t="n">
        <f aca="false"> MOD(280.4664567 + 360007.6982779*L220/10 + 0.03032028*L220^2/100 + L220^3/49931000,360)</f>
        <v>135.506958798724</v>
      </c>
      <c r="AO220" s="32" t="n">
        <f aca="false"> AN220 + (1.9146 - 0.004817*L220 - 0.000014*L220^2)*SIN(Q220)+ (0.019993 - 0.000101*L220)*SIN(2*Q220)+ 0.00029*SIN(3*Q220)</f>
        <v>134.505582707663</v>
      </c>
      <c r="AP220" s="32" t="n">
        <f aca="false">ACOS(COS(W220-$A$10*AO220)*COS(Y220))/$A$10</f>
        <v>109.821402190763</v>
      </c>
      <c r="AQ220" s="34" t="n">
        <f aca="false">180 - AP220 -0.1468*(1-0.0549*SIN(Q220))*SIN($A$10*AP220)/(1-0.0167*SIN($A$10*AO220))</f>
        <v>70.0347438637705</v>
      </c>
      <c r="AR220" s="64" t="n">
        <f aca="false">SIN($A$10*AI220)</f>
        <v>0.999620844484837</v>
      </c>
      <c r="AS220" s="64" t="n">
        <f aca="false">COS($A$10*AI220)*SIN($A$10*$B$5) - TAN($A$10*AG220)*COS($A$10*$B$5)</f>
        <v>0.285650481637975</v>
      </c>
      <c r="AT220" s="24" t="n">
        <f aca="false">IF(OR(AND(AR220*AS220&gt;0), AND(AR220&lt;0,AS220&gt;0)), MOD(ATAN2(AS220,AR220)/$A$10+360,360),  ATAN2(AS220,AR220)/$A$10)</f>
        <v>74.0522446163502</v>
      </c>
      <c r="AU220" s="39" t="n">
        <f aca="false"> 385000.56 + (-20905355*COS(P220) - 3699111*COS(2*R220-P220) - 2955968*COS(2*R220) - 569925*COS(2*P220) + (1-0.002516*L220)*48888*COS(Q220) - 3149*COS(2*S220)  +246158*COS(2*R220-2*P220) -(1 - 0.002516*L220)*152138*COS(2*R220-Q220-P220) -170733*COS(2*R220+P220) -(1 - 0.002516*L220)*204586*COS(2*R220-Q220) -(1 - 0.002516*L220)*129620*COS(Q220-P220)  + 108743*COS(R220) +(1-0.002516*L220)*104755*COS(Q220+P220) +10321*COS(2*R220-2*S220) +79661*COS(P220-2*S220) -34782*COS(4*R220-P220) -23210*COS(3*P220)  -21636*COS(4*R220-2*P220) +(1 - 0.002516*L220)*24208*COS(2*R220+Q220-P220) +(1 - 0.002516*L220)*30824*COS(2*R220+Q220) -8379*COS(R220-P220) -(1 - 0.002516*L220)*16675*COS(R220+Q220)  -(1 - 0.002516*L220)*12831*COS(2*R220-Q220+P220) -10445*COS(2*R220+2*P220) -11650*COS(4*R220) +14403*COS(2*R220-3*P220) -(1-0.002516*L220)*7003*COS(Q220-2*P220)  + (1 - 0.002516*L220)*10056*COS(2*R220-Q220-2*P220) +6322*COS(R220+P220) -(1 - 0.002516*L220)*(1-0.002516*L220)*9884*COS(2*R220-2*Q220) +(1-0.002516*L220)*5751*COS(Q220+2*P220) - (1-0.002516*L220)^2*4950*COS(2*R220-2*Q220-P220)  +4130*COS(2*R220+P220-2*S220) -(1-0.002516*L220)*3958*COS(4*R220-Q220-P220) +3258*COS(3*R220-P220) +(1 - 0.002516*L220)*2616*COS(2*R220+Q220+P220) -(1 - 0.002516*L220)*1897*COS(4*R220-Q220-2*P220)  -(1-0.002516*L220)^2*2117*COS(2*Q220-P220) +(1-0.002516*L220)^2*2354*COS(2*R220+2*Q220-P220) -1423*COS(4*R220+P220) -1117*COS(4*P220) -(1-0.002516*L220)*1571*COS(4*R220-Q220)  -1739*COS(R220-2*P220) -4421*COS(2*P220-2*S220) +(1-0.002516*L220)^2*1165*COS(2*Q220+P220) +8752*COS(2*R220-P220-2*S220))/1000</f>
        <v>369668.722650074</v>
      </c>
      <c r="AV220" s="54" t="n">
        <f aca="false">ATAN(0.99664719*TAN($A$10*input!$E$2))</f>
        <v>0.871010436227447</v>
      </c>
      <c r="AW220" s="54" t="n">
        <f aca="false">COS(AV220)</f>
        <v>0.644053912545845</v>
      </c>
      <c r="AX220" s="54" t="n">
        <f aca="false">0.99664719*SIN(AV220)</f>
        <v>0.762415269897027</v>
      </c>
      <c r="AY220" s="54" t="n">
        <f aca="false">6378.14/AU220</f>
        <v>0.0172536641841823</v>
      </c>
      <c r="AZ220" s="55" t="n">
        <f aca="false">M220-15*AH220</f>
        <v>88.4221706073125</v>
      </c>
      <c r="BA220" s="56" t="n">
        <f aca="false">COS($A$10*AG220)*SIN($A$10*AZ220)</f>
        <v>0.924388084516477</v>
      </c>
      <c r="BB220" s="56" t="n">
        <f aca="false">COS($A$10*AG220)*COS($A$10*AZ220)-AW220*AY220</f>
        <v>0.0143502399497625</v>
      </c>
      <c r="BC220" s="56" t="n">
        <f aca="false">SIN($A$10*AG220)-AX220*AY220</f>
        <v>-0.393757043438375</v>
      </c>
      <c r="BD220" s="57" t="n">
        <f aca="false">SQRT(BA220^2+BB220^2+BC220^2)</f>
        <v>1.00486012431581</v>
      </c>
      <c r="BE220" s="58" t="n">
        <f aca="false">AU220*BD220</f>
        <v>371465.35859782</v>
      </c>
    </row>
    <row r="221" customFormat="false" ht="15" hidden="false" customHeight="false" outlineLevel="0" collapsed="false">
      <c r="D221" s="41" t="n">
        <f aca="false">K221-INT(275*E221/9)+IF($A$8="common year",2,1)*INT((E221+9)/12)+30</f>
        <v>8</v>
      </c>
      <c r="E221" s="41" t="n">
        <f aca="false">IF(K221&lt;32,1,INT(9*(IF($A$8="common year",2,1)+K221)/275+0.98))</f>
        <v>8</v>
      </c>
      <c r="F221" s="42" t="n">
        <f aca="false">AM221</f>
        <v>-10.7789393547152</v>
      </c>
      <c r="G221" s="60" t="n">
        <f aca="false">F221+1.02/(TAN($A$10*(F221+10.3/(F221+5.11)))*60)</f>
        <v>-10.8550188186868</v>
      </c>
      <c r="H221" s="43" t="n">
        <f aca="false">100*(1+COS($A$10*AQ221))/2</f>
        <v>77.4509772646966</v>
      </c>
      <c r="I221" s="43" t="n">
        <f aca="false">IF(AI221&gt;180,AT221-180,AT221+180)</f>
        <v>241.729755508522</v>
      </c>
      <c r="J221" s="61" t="n">
        <f aca="false">$J$2+K220</f>
        <v>2459799.5</v>
      </c>
      <c r="K221" s="21" t="n">
        <v>220</v>
      </c>
      <c r="L221" s="62" t="n">
        <f aca="false">(J221-2451545)/36525</f>
        <v>0.225995893223819</v>
      </c>
      <c r="M221" s="63" t="n">
        <f aca="false">MOD(280.46061837+360.98564736629*(J221-2451545)+0.000387933*L221^2-L221^3/38710000+$B$7,360)</f>
        <v>331.486823223997</v>
      </c>
      <c r="N221" s="30" t="n">
        <f aca="false">0.606433+1336.855225*L221 - INT(0.606433+1336.855225*L221)</f>
        <v>0.730223684804912</v>
      </c>
      <c r="O221" s="35" t="n">
        <f aca="false">22640*SIN(P221)-4586*SIN(P221-2*R221)+2370*SIN(2*R221)+769*SIN(2*P221)-668*SIN(Q221)-412*SIN(2*S221)-212*SIN(2*P221-2*R221)-206*SIN(P221+Q221-2*R221)+192*SIN(P221+2*R221)-165*SIN(Q221-2*R221)-125*SIN(R221)-110*SIN(P221+Q221)+148*SIN(P221-Q221)-55*SIN(2*S221-2*R221)</f>
        <v>-15148.8895239304</v>
      </c>
      <c r="P221" s="32" t="n">
        <f aca="false">2*PI()*(0.374897+1325.55241*L221 - INT(0.374897+1325.55241*L221))</f>
        <v>5.93319877216166</v>
      </c>
      <c r="Q221" s="36" t="n">
        <f aca="false">2*PI()*(0.993133+99.997361*L221 - INT(0.993133+99.997361*L221))</f>
        <v>3.7204368756415</v>
      </c>
      <c r="R221" s="36" t="n">
        <f aca="false">2*PI()*(0.827361+1236.853086*L221 - INT(0.827361+1236.853086*L221))</f>
        <v>2.20589414558541</v>
      </c>
      <c r="S221" s="36" t="n">
        <f aca="false">2*PI()*(0.259086+1342.227825*L221 - INT(0.259086+1342.227825*L221))</f>
        <v>3.75145257282085</v>
      </c>
      <c r="T221" s="36" t="n">
        <f aca="false">S221+(O221+412*SIN(2*S221)+541*SIN(Q221))/206264.8062</f>
        <v>3.67844943535133</v>
      </c>
      <c r="U221" s="36" t="n">
        <f aca="false">S221-2*R221</f>
        <v>-0.66033571834998</v>
      </c>
      <c r="V221" s="34" t="n">
        <f aca="false">-526*SIN(U221)+44*SIN(P221+U221)-31*SIN(-P221+U221)-23*SIN(Q221+U221)+11*SIN(-Q221+U221)-25*SIN(-2*P221+S221)+21*SIN(-P221+S221)</f>
        <v>310.318767733468</v>
      </c>
      <c r="W221" s="36" t="n">
        <f aca="false">2*PI()*(N221+O221/1296000-INT(N221+O221/1296000))</f>
        <v>4.51468683837258</v>
      </c>
      <c r="X221" s="35" t="n">
        <f aca="false">W221*180/PI()</f>
        <v>258.67250166201</v>
      </c>
      <c r="Y221" s="36" t="n">
        <f aca="false">(18520*SIN(T221)+V221)/206264.8062</f>
        <v>-0.0444162226679343</v>
      </c>
      <c r="Z221" s="36" t="n">
        <f aca="false">Y221*180/PI()</f>
        <v>-2.54486210078593</v>
      </c>
      <c r="AA221" s="36" t="n">
        <f aca="false">COS(Y221)*COS(W221)</f>
        <v>-0.196223040741517</v>
      </c>
      <c r="AB221" s="36" t="n">
        <f aca="false">COS(Y221)*SIN(W221)</f>
        <v>-0.979553477059444</v>
      </c>
      <c r="AC221" s="36" t="n">
        <f aca="false">SIN(Y221)</f>
        <v>-0.0444016200482092</v>
      </c>
      <c r="AD221" s="36" t="n">
        <f aca="false">COS($A$10*(23.4393-46.815*L221/3600))*AB221-SIN($A$10*(23.4393-46.815*L221/3600))*AC221</f>
        <v>-0.881082801663199</v>
      </c>
      <c r="AE221" s="36" t="n">
        <f aca="false">SIN($A$10*(23.4393-46.815*L221/3600))*AB221+COS($A$10*(23.4393-46.815*L221/3600))*AC221</f>
        <v>-0.430336629739419</v>
      </c>
      <c r="AF221" s="36" t="n">
        <f aca="false">SQRT(1-AE221*AE221)</f>
        <v>0.902668480176703</v>
      </c>
      <c r="AG221" s="35" t="n">
        <f aca="false">ATAN(AE221/AF221)/$A$10</f>
        <v>-25.4889254055292</v>
      </c>
      <c r="AH221" s="36" t="n">
        <f aca="false">IF(24*ATAN(AD221/(AA221+AF221))/PI()&gt;0,24*ATAN(AD221/(AA221+AF221))/PI(),24*ATAN(AD221/(AA221+AF221))/PI()+24)</f>
        <v>17.162982860643</v>
      </c>
      <c r="AI221" s="63" t="n">
        <f aca="false">IF(M221-15*AH221&gt;0,M221-15*AH221,360+M221-15*AH221)</f>
        <v>74.0420803143521</v>
      </c>
      <c r="AJ221" s="32" t="n">
        <f aca="false">0.950724+0.051818*COS(P221)+0.009531*COS(2*R221-P221)+0.007843*COS(2*R221)+0.002824*COS(2*P221)+0.000857*COS(2*R221+P221)+0.000533*COS(2*R221-Q221)*(1-0.002495*(J221-2415020)/36525)+0.000401*COS(2*R221-Q221-P221)*(1-0.002495*(J221-2415020)/36525)+0.00032*COS(P221-Q221)*(1-0.002495*(J221-2415020)/36525)-0.000271*COS(R221)</f>
        <v>0.999770835389534</v>
      </c>
      <c r="AK221" s="36" t="n">
        <f aca="false">ASIN(COS($A$10*$B$5)*COS($A$10*AG221)*COS($A$10*AI221)+SIN($A$10*$B$5)*SIN($A$10*AG221))/$A$10</f>
        <v>-9.79568101328125</v>
      </c>
      <c r="AL221" s="32" t="n">
        <f aca="false">ASIN((0.9983271+0.0016764*COS($A$10*2*$B$5))*COS($A$10*AK221)*SIN($A$10*AJ221))/$A$10</f>
        <v>0.983258341433966</v>
      </c>
      <c r="AM221" s="32" t="n">
        <f aca="false">AK221-AL221</f>
        <v>-10.7789393547152</v>
      </c>
      <c r="AN221" s="35" t="n">
        <f aca="false"> MOD(280.4664567 + 360007.6982779*L221/10 + 0.03032028*L221^2/100 + L221^3/49931000,360)</f>
        <v>136.492606162577</v>
      </c>
      <c r="AO221" s="32" t="n">
        <f aca="false"> AN221 + (1.9146 - 0.004817*L221 - 0.000014*L221^2)*SIN(Q221)+ (0.019993 - 0.000101*L221)*SIN(2*Q221)+ 0.00029*SIN(3*Q221)</f>
        <v>135.463811339915</v>
      </c>
      <c r="AP221" s="32" t="n">
        <f aca="false">ACOS(COS(W221-$A$10*AO221)*COS(Y221))/$A$10</f>
        <v>123.17170855557</v>
      </c>
      <c r="AQ221" s="34" t="n">
        <f aca="false">180 - AP221 -0.1468*(1-0.0549*SIN(Q221))*SIN($A$10*AP221)/(1-0.0167*SIN($A$10*AO221))</f>
        <v>56.700224348224</v>
      </c>
      <c r="AR221" s="64" t="n">
        <f aca="false">SIN($A$10*AI221)</f>
        <v>0.961463875776263</v>
      </c>
      <c r="AS221" s="64" t="n">
        <f aca="false">COS($A$10*AI221)*SIN($A$10*$B$5) - TAN($A$10*AG221)*COS($A$10*$B$5)</f>
        <v>0.517051056177724</v>
      </c>
      <c r="AT221" s="24" t="n">
        <f aca="false">IF(OR(AND(AR221*AS221&gt;0), AND(AR221&lt;0,AS221&gt;0)), MOD(ATAN2(AS221,AR221)/$A$10+360,360),  ATAN2(AS221,AR221)/$A$10)</f>
        <v>61.7297555085218</v>
      </c>
      <c r="AU221" s="39" t="n">
        <f aca="false"> 385000.56 + (-20905355*COS(P221) - 3699111*COS(2*R221-P221) - 2955968*COS(2*R221) - 569925*COS(2*P221) + (1-0.002516*L221)*48888*COS(Q221) - 3149*COS(2*S221)  +246158*COS(2*R221-2*P221) -(1 - 0.002516*L221)*152138*COS(2*R221-Q221-P221) -170733*COS(2*R221+P221) -(1 - 0.002516*L221)*204586*COS(2*R221-Q221) -(1 - 0.002516*L221)*129620*COS(Q221-P221)  + 108743*COS(R221) +(1-0.002516*L221)*104755*COS(Q221+P221) +10321*COS(2*R221-2*S221) +79661*COS(P221-2*S221) -34782*COS(4*R221-P221) -23210*COS(3*P221)  -21636*COS(4*R221-2*P221) +(1 - 0.002516*L221)*24208*COS(2*R221+Q221-P221) +(1 - 0.002516*L221)*30824*COS(2*R221+Q221) -8379*COS(R221-P221) -(1 - 0.002516*L221)*16675*COS(R221+Q221)  -(1 - 0.002516*L221)*12831*COS(2*R221-Q221+P221) -10445*COS(2*R221+2*P221) -11650*COS(4*R221) +14403*COS(2*R221-3*P221) -(1-0.002516*L221)*7003*COS(Q221-2*P221)  + (1 - 0.002516*L221)*10056*COS(2*R221-Q221-2*P221) +6322*COS(R221+P221) -(1 - 0.002516*L221)*(1-0.002516*L221)*9884*COS(2*R221-2*Q221) +(1-0.002516*L221)*5751*COS(Q221+2*P221) - (1-0.002516*L221)^2*4950*COS(2*R221-2*Q221-P221)  +4130*COS(2*R221+P221-2*S221) -(1-0.002516*L221)*3958*COS(4*R221-Q221-P221) +3258*COS(3*R221-P221) +(1 - 0.002516*L221)*2616*COS(2*R221+Q221+P221) -(1 - 0.002516*L221)*1897*COS(4*R221-Q221-2*P221)  -(1-0.002516*L221)^2*2117*COS(2*Q221-P221) +(1-0.002516*L221)^2*2354*COS(2*R221+2*Q221-P221) -1423*COS(4*R221+P221) -1117*COS(4*P221) -(1-0.002516*L221)*1571*COS(4*R221-Q221)  -1739*COS(R221-2*P221) -4421*COS(2*P221-2*S221) +(1-0.002516*L221)^2*1165*COS(2*Q221+P221) +8752*COS(2*R221-P221-2*S221))/1000</f>
        <v>365474.464614979</v>
      </c>
      <c r="AV221" s="54" t="n">
        <f aca="false">ATAN(0.99664719*TAN($A$10*input!$E$2))</f>
        <v>0.871010436227447</v>
      </c>
      <c r="AW221" s="54" t="n">
        <f aca="false">COS(AV221)</f>
        <v>0.644053912545845</v>
      </c>
      <c r="AX221" s="54" t="n">
        <f aca="false">0.99664719*SIN(AV221)</f>
        <v>0.762415269897027</v>
      </c>
      <c r="AY221" s="54" t="n">
        <f aca="false">6378.14/AU221</f>
        <v>0.0174516706843507</v>
      </c>
      <c r="AZ221" s="55" t="n">
        <f aca="false">M221-15*AH221</f>
        <v>74.0420803143521</v>
      </c>
      <c r="BA221" s="56" t="n">
        <f aca="false">COS($A$10*AG221)*SIN($A$10*AZ221)</f>
        <v>0.867883135491761</v>
      </c>
      <c r="BB221" s="56" t="n">
        <f aca="false">COS($A$10*AG221)*COS($A$10*AZ221)-AW221*AY221</f>
        <v>0.236931995139014</v>
      </c>
      <c r="BC221" s="56" t="n">
        <f aca="false">SIN($A$10*AG221)-AX221*AY221</f>
        <v>-0.443642049954382</v>
      </c>
      <c r="BD221" s="57" t="n">
        <f aca="false">SQRT(BA221^2+BB221^2+BC221^2)</f>
        <v>1.00308333436424</v>
      </c>
      <c r="BE221" s="58" t="n">
        <f aca="false">AU221*BD221</f>
        <v>366601.344590981</v>
      </c>
    </row>
    <row r="222" customFormat="false" ht="15" hidden="false" customHeight="false" outlineLevel="0" collapsed="false">
      <c r="D222" s="41" t="n">
        <f aca="false">K222-INT(275*E222/9)+IF($A$8="common year",2,1)*INT((E222+9)/12)+30</f>
        <v>9</v>
      </c>
      <c r="E222" s="41" t="n">
        <f aca="false">IF(K222&lt;32,1,INT(9*(IF($A$8="common year",2,1)+K222)/275+0.98))</f>
        <v>8</v>
      </c>
      <c r="F222" s="42" t="n">
        <f aca="false">AM222</f>
        <v>-3.85764779398301</v>
      </c>
      <c r="G222" s="60" t="n">
        <f aca="false">F222+1.02/(TAN($A$10*(F222+10.3/(F222+5.11)))*60)</f>
        <v>-3.63503062070817</v>
      </c>
      <c r="H222" s="43" t="n">
        <f aca="false">100*(1+COS($A$10*AQ222))/2</f>
        <v>86.5144901740807</v>
      </c>
      <c r="I222" s="43" t="n">
        <f aca="false">IF(AI222&gt;180,AT222-180,AT222+180)</f>
        <v>229.711162301605</v>
      </c>
      <c r="J222" s="61" t="n">
        <f aca="false">$J$2+K221</f>
        <v>2459800.5</v>
      </c>
      <c r="K222" s="21" t="n">
        <v>221</v>
      </c>
      <c r="L222" s="62" t="n">
        <f aca="false">(J222-2451545)/36525</f>
        <v>0.226023271731691</v>
      </c>
      <c r="M222" s="63" t="n">
        <f aca="false">MOD(280.46061837+360.98564736629*(J222-2451545)+0.000387933*L222^2-L222^3/38710000+$B$7,360)</f>
        <v>332.47247059457</v>
      </c>
      <c r="N222" s="30" t="n">
        <f aca="false">0.606433+1336.855225*L222 - INT(0.606433+1336.855225*L222)</f>
        <v>0.766824786105417</v>
      </c>
      <c r="O222" s="35" t="n">
        <f aca="false">22640*SIN(P222)-4586*SIN(P222-2*R222)+2370*SIN(2*R222)+769*SIN(2*P222)-668*SIN(Q222)-412*SIN(2*S222)-212*SIN(2*P222-2*R222)-206*SIN(P222+Q222-2*R222)+192*SIN(P222+2*R222)-165*SIN(Q222-2*R222)-125*SIN(R222)-110*SIN(P222+Q222)+148*SIN(P222-Q222)-55*SIN(2*S222-2*R222)</f>
        <v>-9758.01782598654</v>
      </c>
      <c r="P222" s="32" t="n">
        <f aca="false">2*PI()*(0.374897+1325.55241*L222 - INT(0.374897+1325.55241*L222))</f>
        <v>6.16122591593748</v>
      </c>
      <c r="Q222" s="36" t="n">
        <f aca="false">2*PI()*(0.993133+99.997361*L222 - INT(0.993133+99.997361*L222))</f>
        <v>3.7376388455085</v>
      </c>
      <c r="R222" s="36" t="n">
        <f aca="false">2*PI()*(0.827361+1236.853086*L222 - INT(0.827361+1236.853086*L222))</f>
        <v>2.41866285570444</v>
      </c>
      <c r="S222" s="36" t="n">
        <f aca="false">2*PI()*(0.259086+1342.227825*L222 - INT(0.259086+1342.227825*L222))</f>
        <v>3.98234829216185</v>
      </c>
      <c r="T222" s="36" t="n">
        <f aca="false">S222+(O222+412*SIN(2*S222)+541*SIN(Q222))/206264.8062</f>
        <v>3.93555289198607</v>
      </c>
      <c r="U222" s="36" t="n">
        <f aca="false">S222-2*R222</f>
        <v>-0.854977419247025</v>
      </c>
      <c r="V222" s="34" t="n">
        <f aca="false">-526*SIN(U222)+44*SIN(P222+U222)-31*SIN(-P222+U222)-23*SIN(Q222+U222)+11*SIN(-Q222+U222)-25*SIN(-2*P222+S222)+21*SIN(-P222+S222)</f>
        <v>391.072677316254</v>
      </c>
      <c r="W222" s="36" t="n">
        <f aca="false">2*PI()*(N222+O222/1296000-INT(N222+O222/1296000))</f>
        <v>4.77079402381319</v>
      </c>
      <c r="X222" s="35" t="n">
        <f aca="false">W222*180/PI()</f>
        <v>273.346362490732</v>
      </c>
      <c r="Y222" s="36" t="n">
        <f aca="false">(18520*SIN(T222)+V222)/206264.8062</f>
        <v>-0.062134638599387</v>
      </c>
      <c r="Z222" s="36" t="n">
        <f aca="false">Y222*180/PI()</f>
        <v>-3.56005255331553</v>
      </c>
      <c r="AA222" s="36" t="n">
        <f aca="false">COS(Y222)*COS(W222)</f>
        <v>0.0582592021414039</v>
      </c>
      <c r="AB222" s="36" t="n">
        <f aca="false">COS(Y222)*SIN(W222)</f>
        <v>-0.996368464908563</v>
      </c>
      <c r="AC222" s="36" t="n">
        <f aca="false">SIN(Y222)</f>
        <v>-0.0620946656452908</v>
      </c>
      <c r="AD222" s="36" t="n">
        <f aca="false">COS($A$10*(23.4393-46.815*L222/3600))*AB222-SIN($A$10*(23.4393-46.815*L222/3600))*AC222</f>
        <v>-0.88947353700834</v>
      </c>
      <c r="AE222" s="36" t="n">
        <f aca="false">SIN($A$10*(23.4393-46.815*L222/3600))*AB222+COS($A$10*(23.4393-46.815*L222/3600))*AC222</f>
        <v>-0.453257865158146</v>
      </c>
      <c r="AF222" s="36" t="n">
        <f aca="false">SQRT(1-AE222*AE222)</f>
        <v>0.891379440907339</v>
      </c>
      <c r="AG222" s="35" t="n">
        <f aca="false">ATAN(AE222/AF222)/$A$10</f>
        <v>-26.9528981175822</v>
      </c>
      <c r="AH222" s="36" t="n">
        <f aca="false">IF(24*ATAN(AD222/(AA222+AF222))/PI()&gt;0,24*ATAN(AD222/(AA222+AF222))/PI(),24*ATAN(AD222/(AA222+AF222))/PI()+24)</f>
        <v>18.2498290729895</v>
      </c>
      <c r="AI222" s="63" t="n">
        <f aca="false">IF(M222-15*AH222&gt;0,M222-15*AH222,360+M222-15*AH222)</f>
        <v>58.7250344997275</v>
      </c>
      <c r="AJ222" s="32" t="n">
        <f aca="false">0.950724+0.051818*COS(P222)+0.009531*COS(2*R222-P222)+0.007843*COS(2*R222)+0.002824*COS(2*P222)+0.000857*COS(2*R222+P222)+0.000533*COS(2*R222-Q222)*(1-0.002495*(J222-2415020)/36525)+0.000401*COS(2*R222-Q222-P222)*(1-0.002495*(J222-2415020)/36525)+0.00032*COS(P222-Q222)*(1-0.002495*(J222-2415020)/36525)-0.000271*COS(R222)</f>
        <v>1.00854761856654</v>
      </c>
      <c r="AK222" s="36" t="n">
        <f aca="false">ASIN(COS($A$10*$B$5)*COS($A$10*AG222)*COS($A$10*AI222)+SIN($A$10*$B$5)*SIN($A$10*AG222))/$A$10</f>
        <v>-2.8523283279855</v>
      </c>
      <c r="AL222" s="32" t="n">
        <f aca="false">ASIN((0.9983271+0.0016764*COS($A$10*2*$B$5))*COS($A$10*AK222)*SIN($A$10*AJ222))/$A$10</f>
        <v>1.00531946599751</v>
      </c>
      <c r="AM222" s="32" t="n">
        <f aca="false">AK222-AL222</f>
        <v>-3.85764779398301</v>
      </c>
      <c r="AN222" s="35" t="n">
        <f aca="false"> MOD(280.4664567 + 360007.6982779*L222/10 + 0.03032028*L222^2/100 + L222^3/49931000,360)</f>
        <v>137.478253526433</v>
      </c>
      <c r="AO222" s="32" t="n">
        <f aca="false"> AN222 + (1.9146 - 0.004817*L222 - 0.000014*L222^2)*SIN(Q222)+ (0.019993 - 0.000101*L222)*SIN(2*Q222)+ 0.00029*SIN(3*Q222)</f>
        <v>136.422328839034</v>
      </c>
      <c r="AP222" s="32" t="n">
        <f aca="false">ACOS(COS(W222-$A$10*AO222)*COS(Y222))/$A$10</f>
        <v>136.805911314704</v>
      </c>
      <c r="AQ222" s="34" t="n">
        <f aca="false">180 - AP222 -0.1468*(1-0.0549*SIN(Q222))*SIN($A$10*AP222)/(1-0.0167*SIN($A$10*AO222))</f>
        <v>43.089305195029</v>
      </c>
      <c r="AR222" s="64" t="n">
        <f aca="false">SIN($A$10*AI222)</f>
        <v>0.854685744358257</v>
      </c>
      <c r="AS222" s="64" t="n">
        <f aca="false">COS($A$10*AI222)*SIN($A$10*$B$5) - TAN($A$10*AG222)*COS($A$10*$B$5)</f>
        <v>0.72454000578695</v>
      </c>
      <c r="AT222" s="24" t="n">
        <f aca="false">IF(OR(AND(AR222*AS222&gt;0), AND(AR222&lt;0,AS222&gt;0)), MOD(ATAN2(AS222,AR222)/$A$10+360,360),  ATAN2(AS222,AR222)/$A$10)</f>
        <v>49.7111623016045</v>
      </c>
      <c r="AU222" s="39" t="n">
        <f aca="false"> 385000.56 + (-20905355*COS(P222) - 3699111*COS(2*R222-P222) - 2955968*COS(2*R222) - 569925*COS(2*P222) + (1-0.002516*L222)*48888*COS(Q222) - 3149*COS(2*S222)  +246158*COS(2*R222-2*P222) -(1 - 0.002516*L222)*152138*COS(2*R222-Q222-P222) -170733*COS(2*R222+P222) -(1 - 0.002516*L222)*204586*COS(2*R222-Q222) -(1 - 0.002516*L222)*129620*COS(Q222-P222)  + 108743*COS(R222) +(1-0.002516*L222)*104755*COS(Q222+P222) +10321*COS(2*R222-2*S222) +79661*COS(P222-2*S222) -34782*COS(4*R222-P222) -23210*COS(3*P222)  -21636*COS(4*R222-2*P222) +(1 - 0.002516*L222)*24208*COS(2*R222+Q222-P222) +(1 - 0.002516*L222)*30824*COS(2*R222+Q222) -8379*COS(R222-P222) -(1 - 0.002516*L222)*16675*COS(R222+Q222)  -(1 - 0.002516*L222)*12831*COS(2*R222-Q222+P222) -10445*COS(2*R222+2*P222) -11650*COS(4*R222) +14403*COS(2*R222-3*P222) -(1-0.002516*L222)*7003*COS(Q222-2*P222)  + (1 - 0.002516*L222)*10056*COS(2*R222-Q222-2*P222) +6322*COS(R222+P222) -(1 - 0.002516*L222)*(1-0.002516*L222)*9884*COS(2*R222-2*Q222) +(1-0.002516*L222)*5751*COS(Q222+2*P222) - (1-0.002516*L222)^2*4950*COS(2*R222-2*Q222-P222)  +4130*COS(2*R222+P222-2*S222) -(1-0.002516*L222)*3958*COS(4*R222-Q222-P222) +3258*COS(3*R222-P222) +(1 - 0.002516*L222)*2616*COS(2*R222+Q222+P222) -(1 - 0.002516*L222)*1897*COS(4*R222-Q222-2*P222)  -(1-0.002516*L222)^2*2117*COS(2*Q222-P222) +(1-0.002516*L222)^2*2354*COS(2*R222+2*Q222-P222) -1423*COS(4*R222+P222) -1117*COS(4*P222) -(1-0.002516*L222)*1571*COS(4*R222-Q222)  -1739*COS(R222-2*P222) -4421*COS(2*P222-2*S222) +(1-0.002516*L222)^2*1165*COS(2*Q222+P222) +8752*COS(2*R222-P222-2*S222))/1000</f>
        <v>362212.345716188</v>
      </c>
      <c r="AV222" s="54" t="n">
        <f aca="false">ATAN(0.99664719*TAN($A$10*input!$E$2))</f>
        <v>0.871010436227447</v>
      </c>
      <c r="AW222" s="54" t="n">
        <f aca="false">COS(AV222)</f>
        <v>0.644053912545845</v>
      </c>
      <c r="AX222" s="54" t="n">
        <f aca="false">0.99664719*SIN(AV222)</f>
        <v>0.762415269897027</v>
      </c>
      <c r="AY222" s="54" t="n">
        <f aca="false">6378.14/AU222</f>
        <v>0.0176088420934101</v>
      </c>
      <c r="AZ222" s="55" t="n">
        <f aca="false">M222-15*AH222</f>
        <v>58.7250344997275</v>
      </c>
      <c r="BA222" s="56" t="n">
        <f aca="false">COS($A$10*AG222)*SIN($A$10*AZ222)</f>
        <v>0.761849300957536</v>
      </c>
      <c r="BB222" s="56" t="n">
        <f aca="false">COS($A$10*AG222)*COS($A$10*AZ222)-AW222*AY222</f>
        <v>0.45141477782263</v>
      </c>
      <c r="BC222" s="56" t="n">
        <f aca="false">SIN($A$10*AG222)-AX222*AY222</f>
        <v>-0.466683115255367</v>
      </c>
      <c r="BD222" s="57" t="n">
        <f aca="false">SQRT(BA222^2+BB222^2+BC222^2)</f>
        <v>1.00099090359033</v>
      </c>
      <c r="BE222" s="58" t="n">
        <f aca="false">AU222*BD222</f>
        <v>362571.263230021</v>
      </c>
    </row>
    <row r="223" customFormat="false" ht="15" hidden="false" customHeight="false" outlineLevel="0" collapsed="false">
      <c r="D223" s="41" t="n">
        <f aca="false">K223-INT(275*E223/9)+IF($A$8="common year",2,1)*INT((E223+9)/12)+30</f>
        <v>10</v>
      </c>
      <c r="E223" s="41" t="n">
        <f aca="false">IF(K223&lt;32,1,INT(9*(IF($A$8="common year",2,1)+K223)/275+0.98))</f>
        <v>8</v>
      </c>
      <c r="F223" s="42" t="n">
        <f aca="false">AM223</f>
        <v>3.51311367715126</v>
      </c>
      <c r="G223" s="60" t="n">
        <f aca="false">F223+1.02/(TAN($A$10*(F223+10.3/(F223+5.11)))*60)</f>
        <v>3.71955433694091</v>
      </c>
      <c r="H223" s="43" t="n">
        <f aca="false">100*(1+COS($A$10*AQ223))/2</f>
        <v>93.5907892398434</v>
      </c>
      <c r="I223" s="43" t="n">
        <f aca="false">IF(AI223&gt;180,AT223-180,AT223+180)</f>
        <v>217.763603300055</v>
      </c>
      <c r="J223" s="61" t="n">
        <f aca="false">$J$2+K222</f>
        <v>2459801.5</v>
      </c>
      <c r="K223" s="21" t="n">
        <v>222</v>
      </c>
      <c r="L223" s="62" t="n">
        <f aca="false">(J223-2451545)/36525</f>
        <v>0.226050650239562</v>
      </c>
      <c r="M223" s="63" t="n">
        <f aca="false">MOD(280.46061837+360.98564736629*(J223-2451545)+0.000387933*L223^2-L223^3/38710000+$B$7,360)</f>
        <v>333.458117965609</v>
      </c>
      <c r="N223" s="30" t="n">
        <f aca="false">0.606433+1336.855225*L223 - INT(0.606433+1336.855225*L223)</f>
        <v>0.803425887405865</v>
      </c>
      <c r="O223" s="35" t="n">
        <f aca="false">22640*SIN(P223)-4586*SIN(P223-2*R223)+2370*SIN(2*R223)+769*SIN(2*P223)-668*SIN(Q223)-412*SIN(2*S223)-212*SIN(2*P223-2*R223)-206*SIN(P223+Q223-2*R223)+192*SIN(P223+2*R223)-165*SIN(Q223-2*R223)-125*SIN(R223)-110*SIN(P223+Q223)+148*SIN(P223-Q223)-55*SIN(2*S223-2*R223)</f>
        <v>-3463.29368763924</v>
      </c>
      <c r="P223" s="32" t="n">
        <f aca="false">2*PI()*(0.374897+1325.55241*L223 - INT(0.374897+1325.55241*L223))</f>
        <v>0.10606775253371</v>
      </c>
      <c r="Q223" s="36" t="n">
        <f aca="false">2*PI()*(0.993133+99.997361*L223 - INT(0.993133+99.997361*L223))</f>
        <v>3.75484081537549</v>
      </c>
      <c r="R223" s="36" t="n">
        <f aca="false">2*PI()*(0.827361+1236.853086*L223 - INT(0.827361+1236.853086*L223))</f>
        <v>2.63143156582346</v>
      </c>
      <c r="S223" s="36" t="n">
        <f aca="false">2*PI()*(0.259086+1342.227825*L223 - INT(0.259086+1342.227825*L223))</f>
        <v>4.2132440115025</v>
      </c>
      <c r="T223" s="36" t="n">
        <f aca="false">S223+(O223+412*SIN(2*S223)+541*SIN(Q223))/206264.8062</f>
        <v>4.19662290745238</v>
      </c>
      <c r="U223" s="36" t="n">
        <f aca="false">S223-2*R223</f>
        <v>-1.04961912014443</v>
      </c>
      <c r="V223" s="34" t="n">
        <f aca="false">-526*SIN(U223)+44*SIN(P223+U223)-31*SIN(-P223+U223)-23*SIN(Q223+U223)+11*SIN(-Q223+U223)-25*SIN(-2*P223+S223)+21*SIN(-P223+S223)</f>
        <v>451.808189527983</v>
      </c>
      <c r="W223" s="36" t="n">
        <f aca="false">2*PI()*(N223+O223/1296000-INT(N223+O223/1296000))</f>
        <v>5.03128320954157</v>
      </c>
      <c r="X223" s="35" t="n">
        <f aca="false">W223*180/PI()</f>
        <v>288.271293441767</v>
      </c>
      <c r="Y223" s="36" t="n">
        <f aca="false">(18520*SIN(T223)+V223)/206264.8062</f>
        <v>-0.0759170731296175</v>
      </c>
      <c r="Z223" s="36" t="n">
        <f aca="false">Y223*180/PI()</f>
        <v>-4.34972788331311</v>
      </c>
      <c r="AA223" s="36" t="n">
        <f aca="false">COS(Y223)*COS(W223)</f>
        <v>0.312613704022912</v>
      </c>
      <c r="AB223" s="36" t="n">
        <f aca="false">COS(Y223)*SIN(W223)</f>
        <v>-0.94684757687127</v>
      </c>
      <c r="AC223" s="36" t="n">
        <f aca="false">SIN(Y223)</f>
        <v>-0.0758441707059968</v>
      </c>
      <c r="AD223" s="36" t="n">
        <f aca="false">COS($A$10*(23.4393-46.815*L223/3600))*AB223-SIN($A$10*(23.4393-46.815*L223/3600))*AC223</f>
        <v>-0.838569412083454</v>
      </c>
      <c r="AE223" s="36" t="n">
        <f aca="false">SIN($A$10*(23.4393-46.815*L223/3600))*AB223+COS($A$10*(23.4393-46.815*L223/3600))*AC223</f>
        <v>-0.446177109649391</v>
      </c>
      <c r="AF223" s="36" t="n">
        <f aca="false">SQRT(1-AE223*AE223)</f>
        <v>0.894944683667608</v>
      </c>
      <c r="AG223" s="35" t="n">
        <f aca="false">ATAN(AE223/AF223)/$A$10</f>
        <v>-26.4986745239503</v>
      </c>
      <c r="AH223" s="36" t="n">
        <f aca="false">IF(24*ATAN(AD223/(AA223+AF223))/PI()&gt;0,24*ATAN(AD223/(AA223+AF223))/PI(),24*ATAN(AD223/(AA223+AF223))/PI()+24)</f>
        <v>19.3630104560901</v>
      </c>
      <c r="AI223" s="63" t="n">
        <f aca="false">IF(M223-15*AH223&gt;0,M223-15*AH223,360+M223-15*AH223)</f>
        <v>43.0129611242577</v>
      </c>
      <c r="AJ223" s="32" t="n">
        <f aca="false">0.950724+0.051818*COS(P223)+0.009531*COS(2*R223-P223)+0.007843*COS(2*R223)+0.002824*COS(2*P223)+0.000857*COS(2*R223+P223)+0.000533*COS(2*R223-Q223)*(1-0.002495*(J223-2415020)/36525)+0.000401*COS(2*R223-Q223-P223)*(1-0.002495*(J223-2415020)/36525)+0.00032*COS(P223-Q223)*(1-0.002495*(J223-2415020)/36525)-0.000271*COS(R223)</f>
        <v>1.01379291555203</v>
      </c>
      <c r="AK223" s="36" t="n">
        <f aca="false">ASIN(COS($A$10*$B$5)*COS($A$10*AG223)*COS($A$10*AI223)+SIN($A$10*$B$5)*SIN($A$10*AG223))/$A$10</f>
        <v>4.52176568996278</v>
      </c>
      <c r="AL223" s="32" t="n">
        <f aca="false">ASIN((0.9983271+0.0016764*COS($A$10*2*$B$5))*COS($A$10*AK223)*SIN($A$10*AJ223))/$A$10</f>
        <v>1.00865201281151</v>
      </c>
      <c r="AM223" s="32" t="n">
        <f aca="false">AK223-AL223</f>
        <v>3.51311367715126</v>
      </c>
      <c r="AN223" s="35" t="n">
        <f aca="false"> MOD(280.4664567 + 360007.6982779*L223/10 + 0.03032028*L223^2/100 + L223^3/49931000,360)</f>
        <v>138.46390089029</v>
      </c>
      <c r="AO223" s="32" t="n">
        <f aca="false"> AN223 + (1.9146 - 0.004817*L223 - 0.000014*L223^2)*SIN(Q223)+ (0.019993 - 0.000101*L223)*SIN(2*Q223)+ 0.00029*SIN(3*Q223)</f>
        <v>137.381142990814</v>
      </c>
      <c r="AP223" s="32" t="n">
        <f aca="false">ACOS(COS(W223-$A$10*AO223)*COS(Y223))/$A$10</f>
        <v>150.595132676044</v>
      </c>
      <c r="AQ223" s="34" t="n">
        <f aca="false">180 - AP223 -0.1468*(1-0.0549*SIN(Q223))*SIN($A$10*AP223)/(1-0.0167*SIN($A$10*AO223))</f>
        <v>29.3296640706484</v>
      </c>
      <c r="AR223" s="64" t="n">
        <f aca="false">SIN($A$10*AI223)</f>
        <v>0.682163785271755</v>
      </c>
      <c r="AS223" s="64" t="n">
        <f aca="false">COS($A$10*AI223)*SIN($A$10*$B$5) - TAN($A$10*AG223)*COS($A$10*$B$5)</f>
        <v>0.880594754715318</v>
      </c>
      <c r="AT223" s="24" t="n">
        <f aca="false">IF(OR(AND(AR223*AS223&gt;0), AND(AR223&lt;0,AS223&gt;0)), MOD(ATAN2(AS223,AR223)/$A$10+360,360),  ATAN2(AS223,AR223)/$A$10)</f>
        <v>37.7636033000551</v>
      </c>
      <c r="AU223" s="39" t="n">
        <f aca="false"> 385000.56 + (-20905355*COS(P223) - 3699111*COS(2*R223-P223) - 2955968*COS(2*R223) - 569925*COS(2*P223) + (1-0.002516*L223)*48888*COS(Q223) - 3149*COS(2*S223)  +246158*COS(2*R223-2*P223) -(1 - 0.002516*L223)*152138*COS(2*R223-Q223-P223) -170733*COS(2*R223+P223) -(1 - 0.002516*L223)*204586*COS(2*R223-Q223) -(1 - 0.002516*L223)*129620*COS(Q223-P223)  + 108743*COS(R223) +(1-0.002516*L223)*104755*COS(Q223+P223) +10321*COS(2*R223-2*S223) +79661*COS(P223-2*S223) -34782*COS(4*R223-P223) -23210*COS(3*P223)  -21636*COS(4*R223-2*P223) +(1 - 0.002516*L223)*24208*COS(2*R223+Q223-P223) +(1 - 0.002516*L223)*30824*COS(2*R223+Q223) -8379*COS(R223-P223) -(1 - 0.002516*L223)*16675*COS(R223+Q223)  -(1 - 0.002516*L223)*12831*COS(2*R223-Q223+P223) -10445*COS(2*R223+2*P223) -11650*COS(4*R223) +14403*COS(2*R223-3*P223) -(1-0.002516*L223)*7003*COS(Q223-2*P223)  + (1 - 0.002516*L223)*10056*COS(2*R223-Q223-2*P223) +6322*COS(R223+P223) -(1 - 0.002516*L223)*(1-0.002516*L223)*9884*COS(2*R223-2*Q223) +(1-0.002516*L223)*5751*COS(Q223+2*P223) - (1-0.002516*L223)^2*4950*COS(2*R223-2*Q223-P223)  +4130*COS(2*R223+P223-2*S223) -(1-0.002516*L223)*3958*COS(4*R223-Q223-P223) +3258*COS(3*R223-P223) +(1 - 0.002516*L223)*2616*COS(2*R223+Q223+P223) -(1 - 0.002516*L223)*1897*COS(4*R223-Q223-2*P223)  -(1-0.002516*L223)^2*2117*COS(2*Q223-P223) +(1-0.002516*L223)^2*2354*COS(2*R223+2*Q223-P223) -1423*COS(4*R223+P223) -1117*COS(4*P223) -(1-0.002516*L223)*1571*COS(4*R223-Q223)  -1739*COS(R223-2*P223) -4421*COS(2*P223-2*S223) +(1-0.002516*L223)^2*1165*COS(2*Q223+P223) +8752*COS(2*R223-P223-2*S223))/1000</f>
        <v>360257.842140159</v>
      </c>
      <c r="AV223" s="54" t="n">
        <f aca="false">ATAN(0.99664719*TAN($A$10*input!$E$2))</f>
        <v>0.871010436227447</v>
      </c>
      <c r="AW223" s="54" t="n">
        <f aca="false">COS(AV223)</f>
        <v>0.644053912545845</v>
      </c>
      <c r="AX223" s="54" t="n">
        <f aca="false">0.99664719*SIN(AV223)</f>
        <v>0.762415269897027</v>
      </c>
      <c r="AY223" s="54" t="n">
        <f aca="false">6378.14/AU223</f>
        <v>0.0177043751833682</v>
      </c>
      <c r="AZ223" s="55" t="n">
        <f aca="false">M223-15*AH223</f>
        <v>43.0129611242577</v>
      </c>
      <c r="BA223" s="56" t="n">
        <f aca="false">COS($A$10*AG223)*SIN($A$10*AZ223)</f>
        <v>0.610498853019529</v>
      </c>
      <c r="BB223" s="56" t="n">
        <f aca="false">COS($A$10*AG223)*COS($A$10*AZ223)-AW223*AY223</f>
        <v>0.642980448216746</v>
      </c>
      <c r="BC223" s="56" t="n">
        <f aca="false">SIN($A$10*AG223)-AX223*AY223</f>
        <v>-0.459675195633177</v>
      </c>
      <c r="BD223" s="57" t="n">
        <f aca="false">SQRT(BA223^2+BB223^2+BC223^2)</f>
        <v>0.998716171796355</v>
      </c>
      <c r="BE223" s="58" t="n">
        <f aca="false">AU223*BD223</f>
        <v>359795.332961835</v>
      </c>
    </row>
    <row r="224" customFormat="false" ht="15" hidden="false" customHeight="false" outlineLevel="0" collapsed="false">
      <c r="D224" s="41" t="n">
        <f aca="false">K224-INT(275*E224/9)+IF($A$8="common year",2,1)*INT((E224+9)/12)+30</f>
        <v>11</v>
      </c>
      <c r="E224" s="41" t="n">
        <f aca="false">IF(K224&lt;32,1,INT(9*(IF($A$8="common year",2,1)+K224)/275+0.98))</f>
        <v>8</v>
      </c>
      <c r="F224" s="42" t="n">
        <f aca="false">AM224</f>
        <v>10.9512186014707</v>
      </c>
      <c r="G224" s="60" t="n">
        <f aca="false">F224+1.02/(TAN($A$10*(F224+10.3/(F224+5.11)))*60)</f>
        <v>11.0340911069532</v>
      </c>
      <c r="H224" s="43" t="n">
        <f aca="false">100*(1+COS($A$10*AQ224))/2</f>
        <v>98.129972952074</v>
      </c>
      <c r="I224" s="43" t="n">
        <f aca="false">IF(AI224&gt;180,AT224-180,AT224+180)</f>
        <v>205.59812385001</v>
      </c>
      <c r="J224" s="61" t="n">
        <f aca="false">$J$2+K223</f>
        <v>2459802.5</v>
      </c>
      <c r="K224" s="21" t="n">
        <v>223</v>
      </c>
      <c r="L224" s="62" t="n">
        <f aca="false">(J224-2451545)/36525</f>
        <v>0.226078028747433</v>
      </c>
      <c r="M224" s="63" t="n">
        <f aca="false">MOD(280.46061837+360.98564736629*(J224-2451545)+0.000387933*L224^2-L224^3/38710000+$B$7,360)</f>
        <v>334.443765337113</v>
      </c>
      <c r="N224" s="30" t="n">
        <f aca="false">0.606433+1336.855225*L224 - INT(0.606433+1336.855225*L224)</f>
        <v>0.84002698870637</v>
      </c>
      <c r="O224" s="35" t="n">
        <f aca="false">22640*SIN(P224)-4586*SIN(P224-2*R224)+2370*SIN(2*R224)+769*SIN(2*P224)-668*SIN(Q224)-412*SIN(2*S224)-212*SIN(2*P224-2*R224)-206*SIN(P224+Q224-2*R224)+192*SIN(P224+2*R224)-165*SIN(Q224-2*R224)-125*SIN(R224)-110*SIN(P224+Q224)+148*SIN(P224-Q224)-55*SIN(2*S224-2*R224)</f>
        <v>3292.39637124648</v>
      </c>
      <c r="P224" s="32" t="n">
        <f aca="false">2*PI()*(0.374897+1325.55241*L224 - INT(0.374897+1325.55241*L224))</f>
        <v>0.334094896309528</v>
      </c>
      <c r="Q224" s="36" t="n">
        <f aca="false">2*PI()*(0.993133+99.997361*L224 - INT(0.993133+99.997361*L224))</f>
        <v>3.7720427852425</v>
      </c>
      <c r="R224" s="36" t="n">
        <f aca="false">2*PI()*(0.827361+1236.853086*L224 - INT(0.827361+1236.853086*L224))</f>
        <v>2.84420027594249</v>
      </c>
      <c r="S224" s="36" t="n">
        <f aca="false">2*PI()*(0.259086+1342.227825*L224 - INT(0.259086+1342.227825*L224))</f>
        <v>4.44413973084351</v>
      </c>
      <c r="T224" s="36" t="n">
        <f aca="false">S224+(O224+412*SIN(2*S224)+541*SIN(Q224))/206264.8062</f>
        <v>4.45957647820995</v>
      </c>
      <c r="U224" s="36" t="n">
        <f aca="false">S224-2*R224</f>
        <v>-1.24426082104147</v>
      </c>
      <c r="V224" s="34" t="n">
        <f aca="false">-526*SIN(U224)+44*SIN(P224+U224)-31*SIN(-P224+U224)-23*SIN(Q224+U224)+11*SIN(-Q224+U224)-25*SIN(-2*P224+S224)+21*SIN(-P224+S224)</f>
        <v>489.222761349935</v>
      </c>
      <c r="W224" s="36" t="n">
        <f aca="false">2*PI()*(N224+O224/1296000-INT(N224+O224/1296000))</f>
        <v>5.29400722111833</v>
      </c>
      <c r="X224" s="35" t="n">
        <f aca="false">W224*180/PI()</f>
        <v>303.324270481862</v>
      </c>
      <c r="Y224" s="36" t="n">
        <f aca="false">(18520*SIN(T224)+V224)/206264.8062</f>
        <v>-0.0845615788381782</v>
      </c>
      <c r="Z224" s="36" t="n">
        <f aca="false">Y224*180/PI()</f>
        <v>-4.84502157639039</v>
      </c>
      <c r="AA224" s="36" t="n">
        <f aca="false">COS(Y224)*COS(W224)</f>
        <v>0.547413783161972</v>
      </c>
      <c r="AB224" s="36" t="n">
        <f aca="false">COS(Y224)*SIN(W224)</f>
        <v>-0.832589044564787</v>
      </c>
      <c r="AC224" s="36" t="n">
        <f aca="false">SIN(Y224)</f>
        <v>-0.0844608363384639</v>
      </c>
      <c r="AD224" s="36" t="n">
        <f aca="false">COS($A$10*(23.4393-46.815*L224/3600))*AB224-SIN($A$10*(23.4393-46.815*L224/3600))*AC224</f>
        <v>-0.730309827799461</v>
      </c>
      <c r="AE224" s="36" t="n">
        <f aca="false">SIN($A$10*(23.4393-46.815*L224/3600))*AB224+COS($A$10*(23.4393-46.815*L224/3600))*AC224</f>
        <v>-0.408638844731896</v>
      </c>
      <c r="AF224" s="36" t="n">
        <f aca="false">SQRT(1-AE224*AE224)</f>
        <v>0.912696167722962</v>
      </c>
      <c r="AG224" s="35" t="n">
        <f aca="false">ATAN(AE224/AF224)/$A$10</f>
        <v>-24.1193577955392</v>
      </c>
      <c r="AH224" s="36" t="n">
        <f aca="false">IF(24*ATAN(AD224/(AA224+AF224))/PI()&gt;0,24*ATAN(AD224/(AA224+AF224))/PI(),24*ATAN(AD224/(AA224+AF224))/PI()+24)</f>
        <v>20.4569265210132</v>
      </c>
      <c r="AI224" s="63" t="n">
        <f aca="false">IF(M224-15*AH224&gt;0,M224-15*AH224,360+M224-15*AH224)</f>
        <v>27.5898675219148</v>
      </c>
      <c r="AJ224" s="32" t="n">
        <f aca="false">0.950724+0.051818*COS(P224)+0.009531*COS(2*R224-P224)+0.007843*COS(2*R224)+0.002824*COS(2*P224)+0.000857*COS(2*R224+P224)+0.000533*COS(2*R224-Q224)*(1-0.002495*(J224-2415020)/36525)+0.000401*COS(2*R224-Q224-P224)*(1-0.002495*(J224-2415020)/36525)+0.00032*COS(P224-Q224)*(1-0.002495*(J224-2415020)/36525)-0.000271*COS(R224)</f>
        <v>1.01469362474623</v>
      </c>
      <c r="AK224" s="36" t="n">
        <f aca="false">ASIN(COS($A$10*$B$5)*COS($A$10*AG224)*COS($A$10*AI224)+SIN($A$10*$B$5)*SIN($A$10*AG224))/$A$10</f>
        <v>11.9419996443078</v>
      </c>
      <c r="AL224" s="32" t="n">
        <f aca="false">ASIN((0.9983271+0.0016764*COS($A$10*2*$B$5))*COS($A$10*AK224)*SIN($A$10*AJ224))/$A$10</f>
        <v>0.990781042837087</v>
      </c>
      <c r="AM224" s="32" t="n">
        <f aca="false">AK224-AL224</f>
        <v>10.9512186014707</v>
      </c>
      <c r="AN224" s="35" t="n">
        <f aca="false"> MOD(280.4664567 + 360007.6982779*L224/10 + 0.03032028*L224^2/100 + L224^3/49931000,360)</f>
        <v>139.449548254148</v>
      </c>
      <c r="AO224" s="32" t="n">
        <f aca="false"> AN224 + (1.9146 - 0.004817*L224 - 0.000014*L224^2)*SIN(Q224)+ (0.019993 - 0.000101*L224)*SIN(2*Q224)+ 0.00029*SIN(3*Q224)</f>
        <v>138.340261510974</v>
      </c>
      <c r="AP224" s="32" t="n">
        <f aca="false">ACOS(COS(W224-$A$10*AO224)*COS(Y224))/$A$10</f>
        <v>164.238843731683</v>
      </c>
      <c r="AQ224" s="34" t="n">
        <f aca="false">180 - AP224 -0.1468*(1-0.0549*SIN(Q224))*SIN($A$10*AP224)/(1-0.0167*SIN($A$10*AO224))</f>
        <v>15.7195286960082</v>
      </c>
      <c r="AR224" s="64" t="n">
        <f aca="false">SIN($A$10*AI224)</f>
        <v>0.463139307111963</v>
      </c>
      <c r="AS224" s="64" t="n">
        <f aca="false">COS($A$10*AI224)*SIN($A$10*$B$5) - TAN($A$10*AG224)*COS($A$10*$B$5)</f>
        <v>0.966727538020071</v>
      </c>
      <c r="AT224" s="24" t="n">
        <f aca="false">IF(OR(AND(AR224*AS224&gt;0), AND(AR224&lt;0,AS224&gt;0)), MOD(ATAN2(AS224,AR224)/$A$10+360,360),  ATAN2(AS224,AR224)/$A$10)</f>
        <v>25.5981238500101</v>
      </c>
      <c r="AU224" s="39" t="n">
        <f aca="false"> 385000.56 + (-20905355*COS(P224) - 3699111*COS(2*R224-P224) - 2955968*COS(2*R224) - 569925*COS(2*P224) + (1-0.002516*L224)*48888*COS(Q224) - 3149*COS(2*S224)  +246158*COS(2*R224-2*P224) -(1 - 0.002516*L224)*152138*COS(2*R224-Q224-P224) -170733*COS(2*R224+P224) -(1 - 0.002516*L224)*204586*COS(2*R224-Q224) -(1 - 0.002516*L224)*129620*COS(Q224-P224)  + 108743*COS(R224) +(1-0.002516*L224)*104755*COS(Q224+P224) +10321*COS(2*R224-2*S224) +79661*COS(P224-2*S224) -34782*COS(4*R224-P224) -23210*COS(3*P224)  -21636*COS(4*R224-2*P224) +(1 - 0.002516*L224)*24208*COS(2*R224+Q224-P224) +(1 - 0.002516*L224)*30824*COS(2*R224+Q224) -8379*COS(R224-P224) -(1 - 0.002516*L224)*16675*COS(R224+Q224)  -(1 - 0.002516*L224)*12831*COS(2*R224-Q224+P224) -10445*COS(2*R224+2*P224) -11650*COS(4*R224) +14403*COS(2*R224-3*P224) -(1-0.002516*L224)*7003*COS(Q224-2*P224)  + (1 - 0.002516*L224)*10056*COS(2*R224-Q224-2*P224) +6322*COS(R224+P224) -(1 - 0.002516*L224)*(1-0.002516*L224)*9884*COS(2*R224-2*Q224) +(1-0.002516*L224)*5751*COS(Q224+2*P224) - (1-0.002516*L224)^2*4950*COS(2*R224-2*Q224-P224)  +4130*COS(2*R224+P224-2*S224) -(1-0.002516*L224)*3958*COS(4*R224-Q224-P224) +3258*COS(3*R224-P224) +(1 - 0.002516*L224)*2616*COS(2*R224+Q224+P224) -(1 - 0.002516*L224)*1897*COS(4*R224-Q224-2*P224)  -(1-0.002516*L224)^2*2117*COS(2*Q224-P224) +(1-0.002516*L224)^2*2354*COS(2*R224+2*Q224-P224) -1423*COS(4*R224+P224) -1117*COS(4*P224) -(1-0.002516*L224)*1571*COS(4*R224-Q224)  -1739*COS(R224-2*P224) -4421*COS(2*P224-2*S224) +(1-0.002516*L224)^2*1165*COS(2*Q224+P224) +8752*COS(2*R224-P224-2*S224))/1000</f>
        <v>359895.758730458</v>
      </c>
      <c r="AV224" s="54" t="n">
        <f aca="false">ATAN(0.99664719*TAN($A$10*input!$E$2))</f>
        <v>0.871010436227447</v>
      </c>
      <c r="AW224" s="54" t="n">
        <f aca="false">COS(AV224)</f>
        <v>0.644053912545845</v>
      </c>
      <c r="AX224" s="54" t="n">
        <f aca="false">0.99664719*SIN(AV224)</f>
        <v>0.762415269897027</v>
      </c>
      <c r="AY224" s="54" t="n">
        <f aca="false">6378.14/AU224</f>
        <v>0.0177221871758063</v>
      </c>
      <c r="AZ224" s="55" t="n">
        <f aca="false">M224-15*AH224</f>
        <v>27.5898675219148</v>
      </c>
      <c r="BA224" s="56" t="n">
        <f aca="false">COS($A$10*AG224)*SIN($A$10*AZ224)</f>
        <v>0.422705470722957</v>
      </c>
      <c r="BB224" s="56" t="n">
        <f aca="false">COS($A$10*AG224)*COS($A$10*AZ224)-AW224*AY224</f>
        <v>0.797495332638778</v>
      </c>
      <c r="BC224" s="56" t="n">
        <f aca="false">SIN($A$10*AG224)-AX224*AY224</f>
        <v>-0.422150510850704</v>
      </c>
      <c r="BD224" s="57" t="n">
        <f aca="false">SQRT(BA224^2+BB224^2+BC224^2)</f>
        <v>0.996438545205504</v>
      </c>
      <c r="BE224" s="58" t="n">
        <f aca="false">AU224*BD224</f>
        <v>358614.006255009</v>
      </c>
    </row>
    <row r="225" customFormat="false" ht="15" hidden="false" customHeight="false" outlineLevel="0" collapsed="false">
      <c r="D225" s="41" t="n">
        <f aca="false">K225-INT(275*E225/9)+IF($A$8="common year",2,1)*INT((E225+9)/12)+30</f>
        <v>12</v>
      </c>
      <c r="E225" s="41" t="n">
        <f aca="false">IF(K225&lt;32,1,INT(9*(IF($A$8="common year",2,1)+K225)/275+0.98))</f>
        <v>8</v>
      </c>
      <c r="F225" s="42" t="n">
        <f aca="false">AM225</f>
        <v>18.0263217726758</v>
      </c>
      <c r="G225" s="60" t="n">
        <f aca="false">F225+1.02/(TAN($A$10*(F225+10.3/(F225+5.11)))*60)</f>
        <v>18.0772135030435</v>
      </c>
      <c r="H225" s="43" t="n">
        <f aca="false">100*(1+COS($A$10*AQ225))/2</f>
        <v>99.8036655486224</v>
      </c>
      <c r="I225" s="43" t="n">
        <f aca="false">IF(AI225&gt;180,AT225-180,AT225+180)</f>
        <v>192.90860869166</v>
      </c>
      <c r="J225" s="61" t="n">
        <f aca="false">$J$2+K224</f>
        <v>2459803.5</v>
      </c>
      <c r="K225" s="21" t="n">
        <v>224</v>
      </c>
      <c r="L225" s="62" t="n">
        <f aca="false">(J225-2451545)/36525</f>
        <v>0.226105407255305</v>
      </c>
      <c r="M225" s="63" t="n">
        <f aca="false">MOD(280.46061837+360.98564736629*(J225-2451545)+0.000387933*L225^2-L225^3/38710000+$B$7,360)</f>
        <v>335.429412708152</v>
      </c>
      <c r="N225" s="30" t="n">
        <f aca="false">0.606433+1336.855225*L225 - INT(0.606433+1336.855225*L225)</f>
        <v>0.876628090006818</v>
      </c>
      <c r="O225" s="35" t="n">
        <f aca="false">22640*SIN(P225)-4586*SIN(P225-2*R225)+2370*SIN(2*R225)+769*SIN(2*P225)-668*SIN(Q225)-412*SIN(2*S225)-212*SIN(2*P225-2*R225)-206*SIN(P225+Q225-2*R225)+192*SIN(P225+2*R225)-165*SIN(Q225-2*R225)-125*SIN(R225)-110*SIN(P225+Q225)+148*SIN(P225-Q225)-55*SIN(2*S225-2*R225)</f>
        <v>9972.74234145726</v>
      </c>
      <c r="P225" s="32" t="n">
        <f aca="false">2*PI()*(0.374897+1325.55241*L225 - INT(0.374897+1325.55241*L225))</f>
        <v>0.562122040085346</v>
      </c>
      <c r="Q225" s="36" t="n">
        <f aca="false">2*PI()*(0.993133+99.997361*L225 - INT(0.993133+99.997361*L225))</f>
        <v>3.78924475510948</v>
      </c>
      <c r="R225" s="36" t="n">
        <f aca="false">2*PI()*(0.827361+1236.853086*L225 - INT(0.827361+1236.853086*L225))</f>
        <v>3.05696898606151</v>
      </c>
      <c r="S225" s="36" t="n">
        <f aca="false">2*PI()*(0.259086+1342.227825*L225 - INT(0.259086+1342.227825*L225))</f>
        <v>4.67503545018451</v>
      </c>
      <c r="T225" s="36" t="n">
        <f aca="false">S225+(O225+412*SIN(2*S225)+541*SIN(Q225))/206264.8062</f>
        <v>4.72195135143802</v>
      </c>
      <c r="U225" s="36" t="n">
        <f aca="false">S225-2*R225</f>
        <v>-1.43890252193852</v>
      </c>
      <c r="V225" s="34" t="n">
        <f aca="false">-526*SIN(U225)+44*SIN(P225+U225)-31*SIN(-P225+U225)-23*SIN(Q225+U225)+11*SIN(-Q225+U225)-25*SIN(-2*P225+S225)+21*SIN(-P225+S225)</f>
        <v>501.603746159173</v>
      </c>
      <c r="W225" s="36" t="n">
        <f aca="false">2*PI()*(N225+O225/1296000-INT(N225+O225/1296000))</f>
        <v>5.55636595424493</v>
      </c>
      <c r="X225" s="35" t="n">
        <f aca="false">W225*180/PI()</f>
        <v>318.356318608415</v>
      </c>
      <c r="Y225" s="36" t="n">
        <f aca="false">(18520*SIN(T225)+V225)/206264.8062</f>
        <v>-0.0873515451697396</v>
      </c>
      <c r="Z225" s="36" t="n">
        <f aca="false">Y225*180/PI()</f>
        <v>-5.00487487217245</v>
      </c>
      <c r="AA225" s="36" t="n">
        <f aca="false">COS(Y225)*COS(W225)</f>
        <v>0.74444249169116</v>
      </c>
      <c r="AB225" s="36" t="n">
        <f aca="false">COS(Y225)*SIN(W225)</f>
        <v>-0.661962590716825</v>
      </c>
      <c r="AC225" s="36" t="n">
        <f aca="false">SIN(Y225)</f>
        <v>-0.0872405012372508</v>
      </c>
      <c r="AD225" s="36" t="n">
        <f aca="false">COS($A$10*(23.4393-46.815*L225/3600))*AB225-SIN($A$10*(23.4393-46.815*L225/3600))*AC225</f>
        <v>-0.572654090608751</v>
      </c>
      <c r="AE225" s="36" t="n">
        <f aca="false">SIN($A$10*(23.4393-46.815*L225/3600))*AB225+COS($A$10*(23.4393-46.815*L225/3600))*AC225</f>
        <v>-0.343325893392448</v>
      </c>
      <c r="AF225" s="36" t="n">
        <f aca="false">SQRT(1-AE225*AE225)</f>
        <v>0.939216338724086</v>
      </c>
      <c r="AG225" s="35" t="n">
        <f aca="false">ATAN(AE225/AF225)/$A$10</f>
        <v>-20.0796355305058</v>
      </c>
      <c r="AH225" s="36" t="n">
        <f aca="false">IF(24*ATAN(AD225/(AA225+AF225))/PI()&gt;0,24*ATAN(AD225/(AA225+AF225))/PI(),24*ATAN(AD225/(AA225+AF225))/PI()+24)</f>
        <v>21.4954077921241</v>
      </c>
      <c r="AI225" s="63" t="n">
        <f aca="false">IF(M225-15*AH225&gt;0,M225-15*AH225,360+M225-15*AH225)</f>
        <v>12.9982958262906</v>
      </c>
      <c r="AJ225" s="32" t="n">
        <f aca="false">0.950724+0.051818*COS(P225)+0.009531*COS(2*R225-P225)+0.007843*COS(2*R225)+0.002824*COS(2*P225)+0.000857*COS(2*R225+P225)+0.000533*COS(2*R225-Q225)*(1-0.002495*(J225-2415020)/36525)+0.000401*COS(2*R225-Q225-P225)*(1-0.002495*(J225-2415020)/36525)+0.00032*COS(P225-Q225)*(1-0.002495*(J225-2415020)/36525)-0.000271*COS(R225)</f>
        <v>1.01091658106484</v>
      </c>
      <c r="AK225" s="36" t="n">
        <f aca="false">ASIN(COS($A$10*$B$5)*COS($A$10*AG225)*COS($A$10*AI225)+SIN($A$10*$B$5)*SIN($A$10*AG225))/$A$10</f>
        <v>18.9803918508777</v>
      </c>
      <c r="AL225" s="32" t="n">
        <f aca="false">ASIN((0.9983271+0.0016764*COS($A$10*2*$B$5))*COS($A$10*AK225)*SIN($A$10*AJ225))/$A$10</f>
        <v>0.954070078201837</v>
      </c>
      <c r="AM225" s="32" t="n">
        <f aca="false">AK225-AL225</f>
        <v>18.0263217726758</v>
      </c>
      <c r="AN225" s="35" t="n">
        <f aca="false"> MOD(280.4664567 + 360007.6982779*L225/10 + 0.03032028*L225^2/100 + L225^3/49931000,360)</f>
        <v>140.435195618005</v>
      </c>
      <c r="AO225" s="32" t="n">
        <f aca="false"> AN225 + (1.9146 - 0.004817*L225 - 0.000014*L225^2)*SIN(Q225)+ (0.019993 - 0.000101*L225)*SIN(2*Q225)+ 0.00029*SIN(3*Q225)</f>
        <v>139.299692043157</v>
      </c>
      <c r="AP225" s="32" t="n">
        <f aca="false">ACOS(COS(W225-$A$10*AO225)*COS(Y225))/$A$10</f>
        <v>174.907214789983</v>
      </c>
      <c r="AQ225" s="34" t="n">
        <f aca="false">180 - AP225 -0.1468*(1-0.0549*SIN(Q225))*SIN($A$10*AP225)/(1-0.0167*SIN($A$10*AO225))</f>
        <v>5.0791740907816</v>
      </c>
      <c r="AR225" s="64" t="n">
        <f aca="false">SIN($A$10*AI225)</f>
        <v>0.224922073124609</v>
      </c>
      <c r="AS225" s="64" t="n">
        <f aca="false">COS($A$10*AI225)*SIN($A$10*$B$5) - TAN($A$10*AG225)*COS($A$10*$B$5)</f>
        <v>0.981383734497231</v>
      </c>
      <c r="AT225" s="24" t="n">
        <f aca="false">IF(OR(AND(AR225*AS225&gt;0), AND(AR225&lt;0,AS225&gt;0)), MOD(ATAN2(AS225,AR225)/$A$10+360,360),  ATAN2(AS225,AR225)/$A$10)</f>
        <v>12.9086086916601</v>
      </c>
      <c r="AU225" s="39" t="n">
        <f aca="false"> 385000.56 + (-20905355*COS(P225) - 3699111*COS(2*R225-P225) - 2955968*COS(2*R225) - 569925*COS(2*P225) + (1-0.002516*L225)*48888*COS(Q225) - 3149*COS(2*S225)  +246158*COS(2*R225-2*P225) -(1 - 0.002516*L225)*152138*COS(2*R225-Q225-P225) -170733*COS(2*R225+P225) -(1 - 0.002516*L225)*204586*COS(2*R225-Q225) -(1 - 0.002516*L225)*129620*COS(Q225-P225)  + 108743*COS(R225) +(1-0.002516*L225)*104755*COS(Q225+P225) +10321*COS(2*R225-2*S225) +79661*COS(P225-2*S225) -34782*COS(4*R225-P225) -23210*COS(3*P225)  -21636*COS(4*R225-2*P225) +(1 - 0.002516*L225)*24208*COS(2*R225+Q225-P225) +(1 - 0.002516*L225)*30824*COS(2*R225+Q225) -8379*COS(R225-P225) -(1 - 0.002516*L225)*16675*COS(R225+Q225)  -(1 - 0.002516*L225)*12831*COS(2*R225-Q225+P225) -10445*COS(2*R225+2*P225) -11650*COS(4*R225) +14403*COS(2*R225-3*P225) -(1-0.002516*L225)*7003*COS(Q225-2*P225)  + (1 - 0.002516*L225)*10056*COS(2*R225-Q225-2*P225) +6322*COS(R225+P225) -(1 - 0.002516*L225)*(1-0.002516*L225)*9884*COS(2*R225-2*Q225) +(1-0.002516*L225)*5751*COS(Q225+2*P225) - (1-0.002516*L225)^2*4950*COS(2*R225-2*Q225-P225)  +4130*COS(2*R225+P225-2*S225) -(1-0.002516*L225)*3958*COS(4*R225-Q225-P225) +3258*COS(3*R225-P225) +(1 - 0.002516*L225)*2616*COS(2*R225+Q225+P225) -(1 - 0.002516*L225)*1897*COS(4*R225-Q225-2*P225)  -(1-0.002516*L225)^2*2117*COS(2*Q225-P225) +(1-0.002516*L225)^2*2354*COS(2*R225+2*Q225-P225) -1423*COS(4*R225+P225) -1117*COS(4*P225) -(1-0.002516*L225)*1571*COS(4*R225-Q225)  -1739*COS(R225-2*P225) -4421*COS(2*P225-2*S225) +(1-0.002516*L225)^2*1165*COS(2*Q225+P225) +8752*COS(2*R225-P225-2*S225))/1000</f>
        <v>361256.391591639</v>
      </c>
      <c r="AV225" s="54" t="n">
        <f aca="false">ATAN(0.99664719*TAN($A$10*input!$E$2))</f>
        <v>0.871010436227447</v>
      </c>
      <c r="AW225" s="54" t="n">
        <f aca="false">COS(AV225)</f>
        <v>0.644053912545845</v>
      </c>
      <c r="AX225" s="54" t="n">
        <f aca="false">0.99664719*SIN(AV225)</f>
        <v>0.762415269897027</v>
      </c>
      <c r="AY225" s="54" t="n">
        <f aca="false">6378.14/AU225</f>
        <v>0.0176554384876041</v>
      </c>
      <c r="AZ225" s="55" t="n">
        <f aca="false">M225-15*AH225</f>
        <v>12.9982958262906</v>
      </c>
      <c r="BA225" s="56" t="n">
        <f aca="false">COS($A$10*AG225)*SIN($A$10*AZ225)</f>
        <v>0.211250486018327</v>
      </c>
      <c r="BB225" s="56" t="n">
        <f aca="false">COS($A$10*AG225)*COS($A$10*AZ225)-AW225*AY225</f>
        <v>0.903779514295721</v>
      </c>
      <c r="BC225" s="56" t="n">
        <f aca="false">SIN($A$10*AG225)-AX225*AY225</f>
        <v>-0.356786669292125</v>
      </c>
      <c r="BD225" s="57" t="n">
        <f aca="false">SQRT(BA225^2+BB225^2+BC225^2)</f>
        <v>0.994354517105522</v>
      </c>
      <c r="BE225" s="58" t="n">
        <f aca="false">AU225*BD225</f>
        <v>359216.924812388</v>
      </c>
    </row>
    <row r="226" customFormat="false" ht="15" hidden="false" customHeight="false" outlineLevel="0" collapsed="false">
      <c r="D226" s="41" t="n">
        <f aca="false">K226-INT(275*E226/9)+IF($A$8="common year",2,1)*INT((E226+9)/12)+30</f>
        <v>13</v>
      </c>
      <c r="E226" s="41" t="n">
        <f aca="false">IF(K226&lt;32,1,INT(9*(IF($A$8="common year",2,1)+K226)/275+0.98))</f>
        <v>8</v>
      </c>
      <c r="F226" s="42" t="n">
        <f aca="false">AM226</f>
        <v>24.2735101915938</v>
      </c>
      <c r="G226" s="60" t="n">
        <f aca="false">F226+1.02/(TAN($A$10*(F226+10.3/(F226+5.11)))*60)</f>
        <v>24.3106002766458</v>
      </c>
      <c r="H226" s="43" t="n">
        <f aca="false">100*(1+COS($A$10*AQ226))/2</f>
        <v>98.5626918367327</v>
      </c>
      <c r="I226" s="43" t="n">
        <f aca="false">IF(AI226&gt;180,AT226-180,AT226+180)</f>
        <v>179.433962067263</v>
      </c>
      <c r="J226" s="61" t="n">
        <f aca="false">$J$2+K225</f>
        <v>2459804.5</v>
      </c>
      <c r="K226" s="21" t="n">
        <v>225</v>
      </c>
      <c r="L226" s="62" t="n">
        <f aca="false">(J226-2451545)/36525</f>
        <v>0.226132785763176</v>
      </c>
      <c r="M226" s="63" t="n">
        <f aca="false">MOD(280.46061837+360.98564736629*(J226-2451545)+0.000387933*L226^2-L226^3/38710000+$B$7,360)</f>
        <v>336.415060079191</v>
      </c>
      <c r="N226" s="30" t="n">
        <f aca="false">0.606433+1336.855225*L226 - INT(0.606433+1336.855225*L226)</f>
        <v>0.913229191307323</v>
      </c>
      <c r="O226" s="35" t="n">
        <f aca="false">22640*SIN(P226)-4586*SIN(P226-2*R226)+2370*SIN(2*R226)+769*SIN(2*P226)-668*SIN(Q226)-412*SIN(2*S226)-212*SIN(2*P226-2*R226)-206*SIN(P226+Q226-2*R226)+192*SIN(P226+2*R226)-165*SIN(Q226-2*R226)-125*SIN(R226)-110*SIN(P226+Q226)+148*SIN(P226-Q226)-55*SIN(2*S226-2*R226)</f>
        <v>16020.5364077671</v>
      </c>
      <c r="P226" s="32" t="n">
        <f aca="false">2*PI()*(0.374897+1325.55241*L226 - INT(0.374897+1325.55241*L226))</f>
        <v>0.790149183860807</v>
      </c>
      <c r="Q226" s="36" t="n">
        <f aca="false">2*PI()*(0.993133+99.997361*L226 - INT(0.993133+99.997361*L226))</f>
        <v>3.80644672497647</v>
      </c>
      <c r="R226" s="36" t="n">
        <f aca="false">2*PI()*(0.827361+1236.853086*L226 - INT(0.827361+1236.853086*L226))</f>
        <v>3.26973769618018</v>
      </c>
      <c r="S226" s="36" t="n">
        <f aca="false">2*PI()*(0.259086+1342.227825*L226 - INT(0.259086+1342.227825*L226))</f>
        <v>4.90593116952551</v>
      </c>
      <c r="T226" s="36" t="n">
        <f aca="false">S226+(O226+412*SIN(2*S226)+541*SIN(Q226))/206264.8062</f>
        <v>4.98122876344389</v>
      </c>
      <c r="U226" s="36" t="n">
        <f aca="false">S226-2*R226</f>
        <v>-1.63354422283484</v>
      </c>
      <c r="V226" s="34" t="n">
        <f aca="false">-526*SIN(U226)+44*SIN(P226+U226)-31*SIN(-P226+U226)-23*SIN(Q226+U226)+11*SIN(-Q226+U226)-25*SIN(-2*P226+S226)+21*SIN(-P226+S226)</f>
        <v>488.954989805001</v>
      </c>
      <c r="W226" s="36" t="n">
        <f aca="false">2*PI()*(N226+O226/1296000-INT(N226+O226/1296000))</f>
        <v>5.81565798920166</v>
      </c>
      <c r="X226" s="35" t="n">
        <f aca="false">W226*180/PI()</f>
        <v>333.212657872794</v>
      </c>
      <c r="Y226" s="36" t="n">
        <f aca="false">(18520*SIN(T226)+V226)/206264.8062</f>
        <v>-0.0841917806176949</v>
      </c>
      <c r="Z226" s="36" t="n">
        <f aca="false">Y226*180/PI()</f>
        <v>-4.82383369908524</v>
      </c>
      <c r="AA226" s="36" t="n">
        <f aca="false">COS(Y226)*COS(W226)</f>
        <v>0.889523482303755</v>
      </c>
      <c r="AB226" s="36" t="n">
        <f aca="false">COS(Y226)*SIN(W226)</f>
        <v>-0.449084012715843</v>
      </c>
      <c r="AC226" s="36" t="n">
        <f aca="false">SIN(Y226)</f>
        <v>-0.0840923537144576</v>
      </c>
      <c r="AD226" s="36" t="n">
        <f aca="false">COS($A$10*(23.4393-46.815*L226/3600))*AB226-SIN($A$10*(23.4393-46.815*L226/3600))*AC226</f>
        <v>-0.378589596735989</v>
      </c>
      <c r="AE226" s="36" t="n">
        <f aca="false">SIN($A$10*(23.4393-46.815*L226/3600))*AB226+COS($A$10*(23.4393-46.815*L226/3600))*AC226</f>
        <v>-0.255769215648566</v>
      </c>
      <c r="AF226" s="36" t="n">
        <f aca="false">SQRT(1-AE226*AE226)</f>
        <v>0.966737869500578</v>
      </c>
      <c r="AG226" s="35" t="n">
        <f aca="false">ATAN(AE226/AF226)/$A$10</f>
        <v>-14.8191695624252</v>
      </c>
      <c r="AH226" s="36" t="n">
        <f aca="false">IF(24*ATAN(AD226/(AA226+AF226))/PI()&gt;0,24*ATAN(AD226/(AA226+AF226))/PI(),24*ATAN(AD226/(AA226+AF226))/PI()+24)</f>
        <v>22.462995868641</v>
      </c>
      <c r="AI226" s="63" t="n">
        <f aca="false">IF(M226-15*AH226&gt;0,M226-15*AH226,360+M226-15*AH226)</f>
        <v>359.470122049577</v>
      </c>
      <c r="AJ226" s="32" t="n">
        <f aca="false">0.950724+0.051818*COS(P226)+0.009531*COS(2*R226-P226)+0.007843*COS(2*R226)+0.002824*COS(2*P226)+0.000857*COS(2*R226+P226)+0.000533*COS(2*R226-Q226)*(1-0.002495*(J226-2415020)/36525)+0.000401*COS(2*R226-Q226-P226)*(1-0.002495*(J226-2415020)/36525)+0.00032*COS(P226-Q226)*(1-0.002495*(J226-2415020)/36525)-0.000271*COS(R226)</f>
        <v>1.00270346158549</v>
      </c>
      <c r="AK226" s="36" t="n">
        <f aca="false">ASIN(COS($A$10*$B$5)*COS($A$10*AG226)*COS($A$10*AI226)+SIN($A$10*$B$5)*SIN($A$10*AG226))/$A$10</f>
        <v>25.179148014248</v>
      </c>
      <c r="AL226" s="32" t="n">
        <f aca="false">ASIN((0.9983271+0.0016764*COS($A$10*2*$B$5))*COS($A$10*AK226)*SIN($A$10*AJ226))/$A$10</f>
        <v>0.90563782265419</v>
      </c>
      <c r="AM226" s="32" t="n">
        <f aca="false">AK226-AL226</f>
        <v>24.2735101915938</v>
      </c>
      <c r="AN226" s="35" t="n">
        <f aca="false"> MOD(280.4664567 + 360007.6982779*L226/10 + 0.03032028*L226^2/100 + L226^3/49931000,360)</f>
        <v>141.420842981865</v>
      </c>
      <c r="AO226" s="32" t="n">
        <f aca="false"> AN226 + (1.9146 - 0.004817*L226 - 0.000014*L226^2)*SIN(Q226)+ (0.019993 - 0.000101*L226)*SIN(2*Q226)+ 0.00029*SIN(3*Q226)</f>
        <v>140.25944215693</v>
      </c>
      <c r="AP226" s="32" t="n">
        <f aca="false">ACOS(COS(W226-$A$10*AO226)*COS(Y226))/$A$10</f>
        <v>166.192133050621</v>
      </c>
      <c r="AQ226" s="34" t="n">
        <f aca="false">180 - AP226 -0.1468*(1-0.0549*SIN(Q226))*SIN($A$10*AP226)/(1-0.0167*SIN($A$10*AO226))</f>
        <v>13.7712530675798</v>
      </c>
      <c r="AR226" s="64" t="n">
        <f aca="false">SIN($A$10*AI226)</f>
        <v>-0.00924798304094999</v>
      </c>
      <c r="AS226" s="64" t="n">
        <f aca="false">COS($A$10*AI226)*SIN($A$10*$B$5) - TAN($A$10*AG226)*COS($A$10*$B$5)</f>
        <v>0.936073588372179</v>
      </c>
      <c r="AT226" s="24" t="n">
        <f aca="false">IF(OR(AND(AR226*AS226&gt;0), AND(AR226&lt;0,AS226&gt;0)), MOD(ATAN2(AS226,AR226)/$A$10+360,360),  ATAN2(AS226,AR226)/$A$10)</f>
        <v>359.433962067263</v>
      </c>
      <c r="AU226" s="39" t="n">
        <f aca="false"> 385000.56 + (-20905355*COS(P226) - 3699111*COS(2*R226-P226) - 2955968*COS(2*R226) - 569925*COS(2*P226) + (1-0.002516*L226)*48888*COS(Q226) - 3149*COS(2*S226)  +246158*COS(2*R226-2*P226) -(1 - 0.002516*L226)*152138*COS(2*R226-Q226-P226) -170733*COS(2*R226+P226) -(1 - 0.002516*L226)*204586*COS(2*R226-Q226) -(1 - 0.002516*L226)*129620*COS(Q226-P226)  + 108743*COS(R226) +(1-0.002516*L226)*104755*COS(Q226+P226) +10321*COS(2*R226-2*S226) +79661*COS(P226-2*S226) -34782*COS(4*R226-P226) -23210*COS(3*P226)  -21636*COS(4*R226-2*P226) +(1 - 0.002516*L226)*24208*COS(2*R226+Q226-P226) +(1 - 0.002516*L226)*30824*COS(2*R226+Q226) -8379*COS(R226-P226) -(1 - 0.002516*L226)*16675*COS(R226+Q226)  -(1 - 0.002516*L226)*12831*COS(2*R226-Q226+P226) -10445*COS(2*R226+2*P226) -11650*COS(4*R226) +14403*COS(2*R226-3*P226) -(1-0.002516*L226)*7003*COS(Q226-2*P226)  + (1 - 0.002516*L226)*10056*COS(2*R226-Q226-2*P226) +6322*COS(R226+P226) -(1 - 0.002516*L226)*(1-0.002516*L226)*9884*COS(2*R226-2*Q226) +(1-0.002516*L226)*5751*COS(Q226+2*P226) - (1-0.002516*L226)^2*4950*COS(2*R226-2*Q226-P226)  +4130*COS(2*R226+P226-2*S226) -(1-0.002516*L226)*3958*COS(4*R226-Q226-P226) +3258*COS(3*R226-P226) +(1 - 0.002516*L226)*2616*COS(2*R226+Q226+P226) -(1 - 0.002516*L226)*1897*COS(4*R226-Q226-2*P226)  -(1-0.002516*L226)^2*2117*COS(2*Q226-P226) +(1-0.002516*L226)^2*2354*COS(2*R226+2*Q226-P226) -1423*COS(4*R226+P226) -1117*COS(4*P226) -(1-0.002516*L226)*1571*COS(4*R226-Q226)  -1739*COS(R226-2*P226) -4421*COS(2*P226-2*S226) +(1-0.002516*L226)^2*1165*COS(2*Q226+P226) +8752*COS(2*R226-P226-2*S226))/1000</f>
        <v>364278.466570159</v>
      </c>
      <c r="AV226" s="54" t="n">
        <f aca="false">ATAN(0.99664719*TAN($A$10*input!$E$2))</f>
        <v>0.871010436227447</v>
      </c>
      <c r="AW226" s="54" t="n">
        <f aca="false">COS(AV226)</f>
        <v>0.644053912545845</v>
      </c>
      <c r="AX226" s="54" t="n">
        <f aca="false">0.99664719*SIN(AV226)</f>
        <v>0.762415269897027</v>
      </c>
      <c r="AY226" s="54" t="n">
        <f aca="false">6378.14/AU226</f>
        <v>0.0175089679608377</v>
      </c>
      <c r="AZ226" s="55" t="n">
        <f aca="false">M226-15*AH226</f>
        <v>-0.529877950423497</v>
      </c>
      <c r="BA226" s="56" t="n">
        <f aca="false">COS($A$10*AG226)*SIN($A$10*AZ226)</f>
        <v>-0.00894037542218619</v>
      </c>
      <c r="BB226" s="56" t="n">
        <f aca="false">COS($A$10*AG226)*COS($A$10*AZ226)-AW226*AY226</f>
        <v>0.955419809076674</v>
      </c>
      <c r="BC226" s="56" t="n">
        <f aca="false">SIN($A$10*AG226)-AX226*AY226</f>
        <v>-0.269118320182046</v>
      </c>
      <c r="BD226" s="57" t="n">
        <f aca="false">SQRT(BA226^2+BB226^2+BC226^2)</f>
        <v>0.992638711791155</v>
      </c>
      <c r="BE226" s="58" t="n">
        <f aca="false">AU226*BD226</f>
        <v>361596.90778946</v>
      </c>
    </row>
    <row r="227" customFormat="false" ht="15" hidden="false" customHeight="false" outlineLevel="0" collapsed="false">
      <c r="D227" s="41" t="n">
        <f aca="false">K227-INT(275*E227/9)+IF($A$8="common year",2,1)*INT((E227+9)/12)+30</f>
        <v>14</v>
      </c>
      <c r="E227" s="41" t="n">
        <f aca="false">IF(K227&lt;32,1,INT(9*(IF($A$8="common year",2,1)+K227)/275+0.98))</f>
        <v>8</v>
      </c>
      <c r="F227" s="42" t="n">
        <f aca="false">AM227</f>
        <v>29.2280198546002</v>
      </c>
      <c r="G227" s="60" t="n">
        <f aca="false">F227+1.02/(TAN($A$10*(F227+10.3/(F227+5.11)))*60)</f>
        <v>29.2580330466799</v>
      </c>
      <c r="H227" s="43" t="n">
        <f aca="false">100*(1+COS($A$10*AQ227))/2</f>
        <v>94.632483065166</v>
      </c>
      <c r="I227" s="43" t="n">
        <f aca="false">IF(AI227&gt;180,AT227-180,AT227+180)</f>
        <v>165.061357992382</v>
      </c>
      <c r="J227" s="61" t="n">
        <f aca="false">$J$2+K226</f>
        <v>2459805.5</v>
      </c>
      <c r="K227" s="21" t="n">
        <v>226</v>
      </c>
      <c r="L227" s="62" t="n">
        <f aca="false">(J227-2451545)/36525</f>
        <v>0.226160164271047</v>
      </c>
      <c r="M227" s="63" t="n">
        <f aca="false">MOD(280.46061837+360.98564736629*(J227-2451545)+0.000387933*L227^2-L227^3/38710000+$B$7,360)</f>
        <v>337.40070745023</v>
      </c>
      <c r="N227" s="30" t="n">
        <f aca="false">0.606433+1336.855225*L227 - INT(0.606433+1336.855225*L227)</f>
        <v>0.949830292607828</v>
      </c>
      <c r="O227" s="35" t="n">
        <f aca="false">22640*SIN(P227)-4586*SIN(P227-2*R227)+2370*SIN(2*R227)+769*SIN(2*P227)-668*SIN(Q227)-412*SIN(2*S227)-212*SIN(2*P227-2*R227)-206*SIN(P227+Q227-2*R227)+192*SIN(P227+2*R227)-165*SIN(Q227-2*R227)-125*SIN(R227)-110*SIN(P227+Q227)+148*SIN(P227-Q227)-55*SIN(2*S227-2*R227)</f>
        <v>20937.534994865</v>
      </c>
      <c r="P227" s="32" t="n">
        <f aca="false">2*PI()*(0.374897+1325.55241*L227 - INT(0.374897+1325.55241*L227))</f>
        <v>1.01817632763662</v>
      </c>
      <c r="Q227" s="36" t="n">
        <f aca="false">2*PI()*(0.993133+99.997361*L227 - INT(0.993133+99.997361*L227))</f>
        <v>3.82364869484347</v>
      </c>
      <c r="R227" s="36" t="n">
        <f aca="false">2*PI()*(0.827361+1236.853086*L227 - INT(0.827361+1236.853086*L227))</f>
        <v>3.4825064062992</v>
      </c>
      <c r="S227" s="36" t="n">
        <f aca="false">2*PI()*(0.259086+1342.227825*L227 - INT(0.259086+1342.227825*L227))</f>
        <v>5.13682688886652</v>
      </c>
      <c r="T227" s="36" t="n">
        <f aca="false">S227+(O227+412*SIN(2*S227)+541*SIN(Q227))/206264.8062</f>
        <v>5.23518235969317</v>
      </c>
      <c r="U227" s="36" t="n">
        <f aca="false">S227-2*R227</f>
        <v>-1.82818592373189</v>
      </c>
      <c r="V227" s="34" t="n">
        <f aca="false">-526*SIN(U227)+44*SIN(P227+U227)-31*SIN(-P227+U227)-23*SIN(Q227+U227)+11*SIN(-Q227+U227)-25*SIN(-2*P227+S227)+21*SIN(-P227+S227)</f>
        <v>452.925142219959</v>
      </c>
      <c r="W227" s="36" t="n">
        <f aca="false">2*PI()*(N227+O227/1296000-INT(N227+O227/1296000))</f>
        <v>6.0694677729698</v>
      </c>
      <c r="X227" s="35" t="n">
        <f aca="false">W227*180/PI()</f>
        <v>347.754887281836</v>
      </c>
      <c r="Y227" s="36" t="n">
        <f aca="false">(18520*SIN(T227)+V227)/206264.8062</f>
        <v>-0.0755985395186585</v>
      </c>
      <c r="Z227" s="36" t="n">
        <f aca="false">Y227*180/PI()</f>
        <v>-4.3314772517721</v>
      </c>
      <c r="AA227" s="36" t="n">
        <f aca="false">COS(Y227)*COS(W227)</f>
        <v>0.974457973620499</v>
      </c>
      <c r="AB227" s="36" t="n">
        <f aca="false">COS(Y227)*SIN(W227)</f>
        <v>-0.211488528724792</v>
      </c>
      <c r="AC227" s="36" t="n">
        <f aca="false">SIN(Y227)</f>
        <v>-0.0755265507305428</v>
      </c>
      <c r="AD227" s="36" t="n">
        <f aca="false">COS($A$10*(23.4393-46.815*L227/3600))*AB227-SIN($A$10*(23.4393-46.815*L227/3600))*AC227</f>
        <v>-0.164002045987178</v>
      </c>
      <c r="AE227" s="36" t="n">
        <f aca="false">SIN($A$10*(23.4393-46.815*L227/3600))*AB227+COS($A$10*(23.4393-46.815*L227/3600))*AC227</f>
        <v>-0.15341116830091</v>
      </c>
      <c r="AF227" s="36" t="n">
        <f aca="false">SQRT(1-AE227*AE227)</f>
        <v>0.988162442840523</v>
      </c>
      <c r="AG227" s="35" t="n">
        <f aca="false">ATAN(AE227/AF227)/$A$10</f>
        <v>-8.82466084013631</v>
      </c>
      <c r="AH227" s="36" t="n">
        <f aca="false">IF(24*ATAN(AD227/(AA227+AF227))/PI()&gt;0,24*ATAN(AD227/(AA227+AF227))/PI(),24*ATAN(AD227/(AA227+AF227))/PI()+24)</f>
        <v>23.3631069449547</v>
      </c>
      <c r="AI227" s="63" t="n">
        <f aca="false">IF(M227-15*AH227&gt;0,M227-15*AH227,360+M227-15*AH227)</f>
        <v>346.954103275909</v>
      </c>
      <c r="AJ227" s="32" t="n">
        <f aca="false">0.950724+0.051818*COS(P227)+0.009531*COS(2*R227-P227)+0.007843*COS(2*R227)+0.002824*COS(2*P227)+0.000857*COS(2*R227+P227)+0.000533*COS(2*R227-Q227)*(1-0.002495*(J227-2415020)/36525)+0.000401*COS(2*R227-Q227-P227)*(1-0.002495*(J227-2415020)/36525)+0.00032*COS(P227-Q227)*(1-0.002495*(J227-2415020)/36525)-0.000271*COS(R227)</f>
        <v>0.99084559666016</v>
      </c>
      <c r="AK227" s="36" t="n">
        <f aca="false">ASIN(COS($A$10*$B$5)*COS($A$10*AG227)*COS($A$10*AI227)+SIN($A$10*$B$5)*SIN($A$10*AG227))/$A$10</f>
        <v>30.0836979546388</v>
      </c>
      <c r="AL227" s="32" t="n">
        <f aca="false">ASIN((0.9983271+0.0016764*COS($A$10*2*$B$5))*COS($A$10*AK227)*SIN($A$10*AJ227))/$A$10</f>
        <v>0.855678100038601</v>
      </c>
      <c r="AM227" s="32" t="n">
        <f aca="false">AK227-AL227</f>
        <v>29.2280198546002</v>
      </c>
      <c r="AN227" s="35" t="n">
        <f aca="false"> MOD(280.4664567 + 360007.6982779*L227/10 + 0.03032028*L227^2/100 + L227^3/49931000,360)</f>
        <v>142.406490345722</v>
      </c>
      <c r="AO227" s="32" t="n">
        <f aca="false"> AN227 + (1.9146 - 0.004817*L227 - 0.000014*L227^2)*SIN(Q227)+ (0.019993 - 0.000101*L227)*SIN(2*Q227)+ 0.00029*SIN(3*Q227)</f>
        <v>141.21951934577</v>
      </c>
      <c r="AP227" s="32" t="n">
        <f aca="false">ACOS(COS(W227-$A$10*AO227)*COS(Y227))/$A$10</f>
        <v>153.138764288944</v>
      </c>
      <c r="AQ227" s="34" t="n">
        <f aca="false">180 - AP227 -0.1468*(1-0.0549*SIN(Q227))*SIN($A$10*AP227)/(1-0.0167*SIN($A$10*AO227))</f>
        <v>26.7918859591895</v>
      </c>
      <c r="AR227" s="64" t="n">
        <f aca="false">SIN($A$10*AI227)</f>
        <v>-0.2257315002057</v>
      </c>
      <c r="AS227" s="64" t="n">
        <f aca="false">COS($A$10*AI227)*SIN($A$10*$B$5) - TAN($A$10*AG227)*COS($A$10*$B$5)</f>
        <v>0.846064588218368</v>
      </c>
      <c r="AT227" s="24" t="n">
        <f aca="false">IF(OR(AND(AR227*AS227&gt;0), AND(AR227&lt;0,AS227&gt;0)), MOD(ATAN2(AS227,AR227)/$A$10+360,360),  ATAN2(AS227,AR227)/$A$10)</f>
        <v>345.061357992382</v>
      </c>
      <c r="AU227" s="39" t="n">
        <f aca="false"> 385000.56 + (-20905355*COS(P227) - 3699111*COS(2*R227-P227) - 2955968*COS(2*R227) - 569925*COS(2*P227) + (1-0.002516*L227)*48888*COS(Q227) - 3149*COS(2*S227)  +246158*COS(2*R227-2*P227) -(1 - 0.002516*L227)*152138*COS(2*R227-Q227-P227) -170733*COS(2*R227+P227) -(1 - 0.002516*L227)*204586*COS(2*R227-Q227) -(1 - 0.002516*L227)*129620*COS(Q227-P227)  + 108743*COS(R227) +(1-0.002516*L227)*104755*COS(Q227+P227) +10321*COS(2*R227-2*S227) +79661*COS(P227-2*S227) -34782*COS(4*R227-P227) -23210*COS(3*P227)  -21636*COS(4*R227-2*P227) +(1 - 0.002516*L227)*24208*COS(2*R227+Q227-P227) +(1 - 0.002516*L227)*30824*COS(2*R227+Q227) -8379*COS(R227-P227) -(1 - 0.002516*L227)*16675*COS(R227+Q227)  -(1 - 0.002516*L227)*12831*COS(2*R227-Q227+P227) -10445*COS(2*R227+2*P227) -11650*COS(4*R227) +14403*COS(2*R227-3*P227) -(1-0.002516*L227)*7003*COS(Q227-2*P227)  + (1 - 0.002516*L227)*10056*COS(2*R227-Q227-2*P227) +6322*COS(R227+P227) -(1 - 0.002516*L227)*(1-0.002516*L227)*9884*COS(2*R227-2*Q227) +(1-0.002516*L227)*5751*COS(Q227+2*P227) - (1-0.002516*L227)^2*4950*COS(2*R227-2*Q227-P227)  +4130*COS(2*R227+P227-2*S227) -(1-0.002516*L227)*3958*COS(4*R227-Q227-P227) +3258*COS(3*R227-P227) +(1 - 0.002516*L227)*2616*COS(2*R227+Q227+P227) -(1 - 0.002516*L227)*1897*COS(4*R227-Q227-2*P227)  -(1-0.002516*L227)^2*2117*COS(2*Q227-P227) +(1-0.002516*L227)^2*2354*COS(2*R227+2*Q227-P227) -1423*COS(4*R227+P227) -1117*COS(4*P227) -(1-0.002516*L227)*1571*COS(4*R227-Q227)  -1739*COS(R227-2*P227) -4421*COS(2*P227-2*S227) +(1-0.002516*L227)^2*1165*COS(2*Q227+P227) +8752*COS(2*R227-P227-2*S227))/1000</f>
        <v>368711.879260341</v>
      </c>
      <c r="AV227" s="54" t="n">
        <f aca="false">ATAN(0.99664719*TAN($A$10*input!$E$2))</f>
        <v>0.871010436227447</v>
      </c>
      <c r="AW227" s="54" t="n">
        <f aca="false">COS(AV227)</f>
        <v>0.644053912545845</v>
      </c>
      <c r="AX227" s="54" t="n">
        <f aca="false">0.99664719*SIN(AV227)</f>
        <v>0.762415269897027</v>
      </c>
      <c r="AY227" s="54" t="n">
        <f aca="false">6378.14/AU227</f>
        <v>0.0172984391302904</v>
      </c>
      <c r="AZ227" s="55" t="n">
        <f aca="false">M227-15*AH227</f>
        <v>-13.0458967240907</v>
      </c>
      <c r="BA227" s="56" t="n">
        <f aca="false">COS($A$10*AG227)*SIN($A$10*AZ227)</f>
        <v>-0.223059390669321</v>
      </c>
      <c r="BB227" s="56" t="n">
        <f aca="false">COS($A$10*AG227)*COS($A$10*AZ227)-AW227*AY227</f>
        <v>0.951516403432949</v>
      </c>
      <c r="BC227" s="56" t="n">
        <f aca="false">SIN($A$10*AG227)-AX227*AY227</f>
        <v>-0.166599762439227</v>
      </c>
      <c r="BD227" s="57" t="n">
        <f aca="false">SQRT(BA227^2+BB227^2+BC227^2)</f>
        <v>0.991410328074381</v>
      </c>
      <c r="BE227" s="58" t="n">
        <f aca="false">AU227*BD227</f>
        <v>365544.765182416</v>
      </c>
    </row>
    <row r="228" customFormat="false" ht="15" hidden="false" customHeight="false" outlineLevel="0" collapsed="false">
      <c r="D228" s="41" t="n">
        <f aca="false">K228-INT(275*E228/9)+IF($A$8="common year",2,1)*INT((E228+9)/12)+30</f>
        <v>15</v>
      </c>
      <c r="E228" s="41" t="n">
        <f aca="false">IF(K228&lt;32,1,INT(9*(IF($A$8="common year",2,1)+K228)/275+0.98))</f>
        <v>8</v>
      </c>
      <c r="F228" s="42" t="n">
        <f aca="false">AM228</f>
        <v>32.4938620791962</v>
      </c>
      <c r="G228" s="60" t="n">
        <f aca="false">F228+1.02/(TAN($A$10*(F228+10.3/(F228+5.11)))*60)</f>
        <v>32.5202735318135</v>
      </c>
      <c r="H228" s="43" t="n">
        <f aca="false">100*(1+COS($A$10*AQ228))/2</f>
        <v>88.4495103739947</v>
      </c>
      <c r="I228" s="43" t="n">
        <f aca="false">IF(AI228&gt;180,AT228-180,AT228+180)</f>
        <v>149.951685920802</v>
      </c>
      <c r="J228" s="61" t="n">
        <f aca="false">$J$2+K227</f>
        <v>2459806.5</v>
      </c>
      <c r="K228" s="21" t="n">
        <v>227</v>
      </c>
      <c r="L228" s="62" t="n">
        <f aca="false">(J228-2451545)/36525</f>
        <v>0.226187542778919</v>
      </c>
      <c r="M228" s="63" t="n">
        <f aca="false">MOD(280.46061837+360.98564736629*(J228-2451545)+0.000387933*L228^2-L228^3/38710000+$B$7,360)</f>
        <v>338.386354821268</v>
      </c>
      <c r="N228" s="30" t="n">
        <f aca="false">0.606433+1336.855225*L228 - INT(0.606433+1336.855225*L228)</f>
        <v>0.986431393908276</v>
      </c>
      <c r="O228" s="35" t="n">
        <f aca="false">22640*SIN(P228)-4586*SIN(P228-2*R228)+2370*SIN(2*R228)+769*SIN(2*P228)-668*SIN(Q228)-412*SIN(2*S228)-212*SIN(2*P228-2*R228)-206*SIN(P228+Q228-2*R228)+192*SIN(P228+2*R228)-165*SIN(Q228-2*R228)-125*SIN(R228)-110*SIN(P228+Q228)+148*SIN(P228-Q228)-55*SIN(2*S228-2*R228)</f>
        <v>24353.7405548324</v>
      </c>
      <c r="P228" s="32" t="n">
        <f aca="false">2*PI()*(0.374897+1325.55241*L228 - INT(0.374897+1325.55241*L228))</f>
        <v>1.24620347141244</v>
      </c>
      <c r="Q228" s="36" t="n">
        <f aca="false">2*PI()*(0.993133+99.997361*L228 - INT(0.993133+99.997361*L228))</f>
        <v>3.84085066471046</v>
      </c>
      <c r="R228" s="36" t="n">
        <f aca="false">2*PI()*(0.827361+1236.853086*L228 - INT(0.827361+1236.853086*L228))</f>
        <v>3.69527511641823</v>
      </c>
      <c r="S228" s="36" t="n">
        <f aca="false">2*PI()*(0.259086+1342.227825*L228 - INT(0.259086+1342.227825*L228))</f>
        <v>5.36772260820752</v>
      </c>
      <c r="T228" s="36" t="n">
        <f aca="false">S228+(O228+412*SIN(2*S228)+541*SIN(Q228))/206264.8062</f>
        <v>5.48217444970158</v>
      </c>
      <c r="U228" s="36" t="n">
        <f aca="false">S228-2*R228</f>
        <v>-2.02282762462893</v>
      </c>
      <c r="V228" s="34" t="n">
        <f aca="false">-526*SIN(U228)+44*SIN(P228+U228)-31*SIN(-P228+U228)-23*SIN(Q228+U228)+11*SIN(-Q228+U228)-25*SIN(-2*P228+S228)+21*SIN(-P228+S228)</f>
        <v>396.552637033953</v>
      </c>
      <c r="W228" s="36" t="n">
        <f aca="false">2*PI()*(N228+O228/1296000-INT(N228+O228/1296000))</f>
        <v>0.0328161996373233</v>
      </c>
      <c r="X228" s="35" t="n">
        <f aca="false">W228*180/PI()</f>
        <v>1.88022973887737</v>
      </c>
      <c r="Y228" s="36" t="n">
        <f aca="false">(18520*SIN(T228)+V228)/206264.8062</f>
        <v>-0.0625502659253132</v>
      </c>
      <c r="Z228" s="36" t="n">
        <f aca="false">Y228*180/PI()</f>
        <v>-3.58386624494141</v>
      </c>
      <c r="AA228" s="36" t="n">
        <f aca="false">COS(Y228)*COS(W228)</f>
        <v>0.997507019621887</v>
      </c>
      <c r="AB228" s="36" t="n">
        <f aca="false">COS(Y228)*SIN(W228)</f>
        <v>0.0327461451464129</v>
      </c>
      <c r="AC228" s="36" t="n">
        <f aca="false">SIN(Y228)</f>
        <v>-0.0625094855450841</v>
      </c>
      <c r="AD228" s="36" t="n">
        <f aca="false">COS($A$10*(23.4393-46.815*L228/3600))*AB228-SIN($A$10*(23.4393-46.815*L228/3600))*AC228</f>
        <v>0.0549065774208505</v>
      </c>
      <c r="AE228" s="36" t="n">
        <f aca="false">SIN($A$10*(23.4393-46.815*L228/3600))*AB228+COS($A$10*(23.4393-46.815*L228/3600))*AC228</f>
        <v>-0.0443284734791214</v>
      </c>
      <c r="AF228" s="36" t="n">
        <f aca="false">SQRT(1-AE228*AE228)</f>
        <v>0.999017010084919</v>
      </c>
      <c r="AG228" s="35" t="n">
        <f aca="false">ATAN(AE228/AF228)/$A$10</f>
        <v>-2.54066698051869</v>
      </c>
      <c r="AH228" s="36" t="n">
        <f aca="false">IF(24*ATAN(AD228/(AA228+AF228))/PI()&gt;0,24*ATAN(AD228/(AA228+AF228))/PI(),24*ATAN(AD228/(AA228+AF228))/PI()+24)</f>
        <v>0.210039874051711</v>
      </c>
      <c r="AI228" s="63" t="n">
        <f aca="false">IF(M228-15*AH228&gt;0,M228-15*AH228,360+M228-15*AH228)</f>
        <v>335.235756710493</v>
      </c>
      <c r="AJ228" s="32" t="n">
        <f aca="false">0.950724+0.051818*COS(P228)+0.009531*COS(2*R228-P228)+0.007843*COS(2*R228)+0.002824*COS(2*P228)+0.000857*COS(2*R228+P228)+0.000533*COS(2*R228-Q228)*(1-0.002495*(J228-2415020)/36525)+0.000401*COS(2*R228-Q228-P228)*(1-0.002495*(J228-2415020)/36525)+0.00032*COS(P228-Q228)*(1-0.002495*(J228-2415020)/36525)-0.000271*COS(R228)</f>
        <v>0.976544185918681</v>
      </c>
      <c r="AK228" s="36" t="n">
        <f aca="false">ASIN(COS($A$10*$B$5)*COS($A$10*AG228)*COS($A$10*AI228)+SIN($A$10*$B$5)*SIN($A$10*AG228))/$A$10</f>
        <v>33.3083716790047</v>
      </c>
      <c r="AL228" s="32" t="n">
        <f aca="false">ASIN((0.9983271+0.0016764*COS($A$10*2*$B$5))*COS($A$10*AK228)*SIN($A$10*AJ228))/$A$10</f>
        <v>0.814509599808519</v>
      </c>
      <c r="AM228" s="32" t="n">
        <f aca="false">AK228-AL228</f>
        <v>32.4938620791962</v>
      </c>
      <c r="AN228" s="35" t="n">
        <f aca="false"> MOD(280.4664567 + 360007.6982779*L228/10 + 0.03032028*L228^2/100 + L228^3/49931000,360)</f>
        <v>143.392137709583</v>
      </c>
      <c r="AO228" s="32" t="n">
        <f aca="false"> AN228 + (1.9146 - 0.004817*L228 - 0.000014*L228^2)*SIN(Q228)+ (0.019993 - 0.000101*L228)*SIN(2*Q228)+ 0.00029*SIN(3*Q228)</f>
        <v>142.179931025091</v>
      </c>
      <c r="AP228" s="32" t="n">
        <f aca="false">ACOS(COS(W228-$A$10*AO228)*COS(Y228))/$A$10</f>
        <v>140.164929414865</v>
      </c>
      <c r="AQ228" s="34" t="n">
        <f aca="false">180 - AP228 -0.1468*(1-0.0549*SIN(Q228))*SIN($A$10*AP228)/(1-0.0167*SIN($A$10*AO228))</f>
        <v>39.7367032338146</v>
      </c>
      <c r="AR228" s="64" t="n">
        <f aca="false">SIN($A$10*AI228)</f>
        <v>-0.418885481997597</v>
      </c>
      <c r="AS228" s="64" t="n">
        <f aca="false">COS($A$10*AI228)*SIN($A$10*$B$5) - TAN($A$10*AG228)*COS($A$10*$B$5)</f>
        <v>0.724120114025712</v>
      </c>
      <c r="AT228" s="24" t="n">
        <f aca="false">IF(OR(AND(AR228*AS228&gt;0), AND(AR228&lt;0,AS228&gt;0)), MOD(ATAN2(AS228,AR228)/$A$10+360,360),  ATAN2(AS228,AR228)/$A$10)</f>
        <v>329.951685920802</v>
      </c>
      <c r="AU228" s="39" t="n">
        <f aca="false"> 385000.56 + (-20905355*COS(P228) - 3699111*COS(2*R228-P228) - 2955968*COS(2*R228) - 569925*COS(2*P228) + (1-0.002516*L228)*48888*COS(Q228) - 3149*COS(2*S228)  +246158*COS(2*R228-2*P228) -(1 - 0.002516*L228)*152138*COS(2*R228-Q228-P228) -170733*COS(2*R228+P228) -(1 - 0.002516*L228)*204586*COS(2*R228-Q228) -(1 - 0.002516*L228)*129620*COS(Q228-P228)  + 108743*COS(R228) +(1-0.002516*L228)*104755*COS(Q228+P228) +10321*COS(2*R228-2*S228) +79661*COS(P228-2*S228) -34782*COS(4*R228-P228) -23210*COS(3*P228)  -21636*COS(4*R228-2*P228) +(1 - 0.002516*L228)*24208*COS(2*R228+Q228-P228) +(1 - 0.002516*L228)*30824*COS(2*R228+Q228) -8379*COS(R228-P228) -(1 - 0.002516*L228)*16675*COS(R228+Q228)  -(1 - 0.002516*L228)*12831*COS(2*R228-Q228+P228) -10445*COS(2*R228+2*P228) -11650*COS(4*R228) +14403*COS(2*R228-3*P228) -(1-0.002516*L228)*7003*COS(Q228-2*P228)  + (1 - 0.002516*L228)*10056*COS(2*R228-Q228-2*P228) +6322*COS(R228+P228) -(1 - 0.002516*L228)*(1-0.002516*L228)*9884*COS(2*R228-2*Q228) +(1-0.002516*L228)*5751*COS(Q228+2*P228) - (1-0.002516*L228)^2*4950*COS(2*R228-2*Q228-P228)  +4130*COS(2*R228+P228-2*S228) -(1-0.002516*L228)*3958*COS(4*R228-Q228-P228) +3258*COS(3*R228-P228) +(1 - 0.002516*L228)*2616*COS(2*R228+Q228+P228) -(1 - 0.002516*L228)*1897*COS(4*R228-Q228-2*P228)  -(1-0.002516*L228)^2*2117*COS(2*Q228-P228) +(1-0.002516*L228)^2*2354*COS(2*R228+2*Q228-P228) -1423*COS(4*R228+P228) -1117*COS(4*P228) -(1-0.002516*L228)*1571*COS(4*R228-Q228)  -1739*COS(R228-2*P228) -4421*COS(2*P228-2*S228) +(1-0.002516*L228)^2*1165*COS(2*Q228+P228) +8752*COS(2*R228-P228-2*S228))/1000</f>
        <v>374159.441846092</v>
      </c>
      <c r="AV228" s="54" t="n">
        <f aca="false">ATAN(0.99664719*TAN($A$10*input!$E$2))</f>
        <v>0.871010436227447</v>
      </c>
      <c r="AW228" s="54" t="n">
        <f aca="false">COS(AV228)</f>
        <v>0.644053912545845</v>
      </c>
      <c r="AX228" s="54" t="n">
        <f aca="false">0.99664719*SIN(AV228)</f>
        <v>0.762415269897027</v>
      </c>
      <c r="AY228" s="54" t="n">
        <f aca="false">6378.14/AU228</f>
        <v>0.017046583051681</v>
      </c>
      <c r="AZ228" s="55" t="n">
        <f aca="false">M228-15*AH228</f>
        <v>335.235756710493</v>
      </c>
      <c r="BA228" s="56" t="n">
        <f aca="false">COS($A$10*AG228)*SIN($A$10*AZ228)</f>
        <v>-0.418473721793219</v>
      </c>
      <c r="BB228" s="56" t="n">
        <f aca="false">COS($A$10*AG228)*COS($A$10*AZ228)-AW228*AY228</f>
        <v>0.896167558420596</v>
      </c>
      <c r="BC228" s="56" t="n">
        <f aca="false">SIN($A$10*AG228)-AX228*AY228</f>
        <v>-0.0573250486972908</v>
      </c>
      <c r="BD228" s="57" t="n">
        <f aca="false">SQRT(BA228^2+BB228^2+BC228^2)</f>
        <v>0.990718279737054</v>
      </c>
      <c r="BE228" s="58" t="n">
        <f aca="false">AU228*BD228</f>
        <v>370686.598573137</v>
      </c>
    </row>
    <row r="229" customFormat="false" ht="15" hidden="false" customHeight="false" outlineLevel="0" collapsed="false">
      <c r="D229" s="41" t="n">
        <f aca="false">K229-INT(275*E229/9)+IF($A$8="common year",2,1)*INT((E229+9)/12)+30</f>
        <v>16</v>
      </c>
      <c r="E229" s="41" t="n">
        <f aca="false">IF(K229&lt;32,1,INT(9*(IF($A$8="common year",2,1)+K229)/275+0.98))</f>
        <v>8</v>
      </c>
      <c r="F229" s="42" t="n">
        <f aca="false">AM229</f>
        <v>33.8380034144605</v>
      </c>
      <c r="G229" s="60" t="n">
        <f aca="false">F229+1.02/(TAN($A$10*(F229+10.3/(F229+5.11)))*60)</f>
        <v>33.863109988864</v>
      </c>
      <c r="H229" s="43" t="n">
        <f aca="false">100*(1+COS($A$10*AQ229))/2</f>
        <v>80.5636158230971</v>
      </c>
      <c r="I229" s="43" t="n">
        <f aca="false">IF(AI229&gt;180,AT229-180,AT229+180)</f>
        <v>134.590714823292</v>
      </c>
      <c r="J229" s="61" t="n">
        <f aca="false">$J$2+K228</f>
        <v>2459807.5</v>
      </c>
      <c r="K229" s="21" t="n">
        <v>228</v>
      </c>
      <c r="L229" s="62" t="n">
        <f aca="false">(J229-2451545)/36525</f>
        <v>0.22621492128679</v>
      </c>
      <c r="M229" s="63" t="n">
        <f aca="false">MOD(280.46061837+360.98564736629*(J229-2451545)+0.000387933*L229^2-L229^3/38710000+$B$7,360)</f>
        <v>339.372002192307</v>
      </c>
      <c r="N229" s="30" t="n">
        <f aca="false">0.606433+1336.855225*L229 - INT(0.606433+1336.855225*L229)</f>
        <v>0.0230324952087813</v>
      </c>
      <c r="O229" s="35" t="n">
        <f aca="false">22640*SIN(P229)-4586*SIN(P229-2*R229)+2370*SIN(2*R229)+769*SIN(2*P229)-668*SIN(Q229)-412*SIN(2*S229)-212*SIN(2*P229-2*R229)-206*SIN(P229+Q229-2*R229)+192*SIN(P229+2*R229)-165*SIN(Q229-2*R229)-125*SIN(R229)-110*SIN(P229+Q229)+148*SIN(P229-Q229)-55*SIN(2*S229-2*R229)</f>
        <v>26071.2243475514</v>
      </c>
      <c r="P229" s="32" t="n">
        <f aca="false">2*PI()*(0.374897+1325.55241*L229 - INT(0.374897+1325.55241*L229))</f>
        <v>1.47423061518826</v>
      </c>
      <c r="Q229" s="36" t="n">
        <f aca="false">2*PI()*(0.993133+99.997361*L229 - INT(0.993133+99.997361*L229))</f>
        <v>3.85805263457746</v>
      </c>
      <c r="R229" s="36" t="n">
        <f aca="false">2*PI()*(0.827361+1236.853086*L229 - INT(0.827361+1236.853086*L229))</f>
        <v>3.90804382653725</v>
      </c>
      <c r="S229" s="36" t="n">
        <f aca="false">2*PI()*(0.259086+1342.227825*L229 - INT(0.259086+1342.227825*L229))</f>
        <v>5.59861832754817</v>
      </c>
      <c r="T229" s="36" t="n">
        <f aca="false">S229+(O229+412*SIN(2*S229)+541*SIN(Q229))/206264.8062</f>
        <v>5.7213357651712</v>
      </c>
      <c r="U229" s="36" t="n">
        <f aca="false">S229-2*R229</f>
        <v>-2.21746932552634</v>
      </c>
      <c r="V229" s="34" t="n">
        <f aca="false">-526*SIN(U229)+44*SIN(P229+U229)-31*SIN(-P229+U229)-23*SIN(Q229+U229)+11*SIN(-Q229+U229)-25*SIN(-2*P229+S229)+21*SIN(-P229+S229)</f>
        <v>323.870476707285</v>
      </c>
      <c r="W229" s="36" t="n">
        <f aca="false">2*PI()*(N229+O229/1296000-INT(N229+O229/1296000))</f>
        <v>0.271114297953188</v>
      </c>
      <c r="X229" s="35" t="n">
        <f aca="false">W229*180/PI()</f>
        <v>15.53370503837</v>
      </c>
      <c r="Y229" s="36" t="n">
        <f aca="false">(18520*SIN(T229)+V229)/206264.8062</f>
        <v>-0.0462643274441122</v>
      </c>
      <c r="Z229" s="36" t="n">
        <f aca="false">Y229*180/PI()</f>
        <v>-2.6507507045589</v>
      </c>
      <c r="AA229" s="36" t="n">
        <f aca="false">COS(Y229)*COS(W229)</f>
        <v>0.962442160589728</v>
      </c>
      <c r="AB229" s="36" t="n">
        <f aca="false">COS(Y229)*SIN(W229)</f>
        <v>0.267518646409369</v>
      </c>
      <c r="AC229" s="36" t="n">
        <f aca="false">SIN(Y229)</f>
        <v>-0.0462478252750959</v>
      </c>
      <c r="AD229" s="36" t="n">
        <f aca="false">COS($A$10*(23.4393-46.815*L229/3600))*AB229-SIN($A$10*(23.4393-46.815*L229/3600))*AC229</f>
        <v>0.263843162472746</v>
      </c>
      <c r="AE229" s="36" t="n">
        <f aca="false">SIN($A$10*(23.4393-46.815*L229/3600))*AB229+COS($A$10*(23.4393-46.815*L229/3600))*AC229</f>
        <v>0.06396775074799</v>
      </c>
      <c r="AF229" s="36" t="n">
        <f aca="false">SQRT(1-AE229*AE229)</f>
        <v>0.997951966210921</v>
      </c>
      <c r="AG229" s="35" t="n">
        <f aca="false">ATAN(AE229/AF229)/$A$10</f>
        <v>3.66758626502492</v>
      </c>
      <c r="AH229" s="36" t="n">
        <f aca="false">IF(24*ATAN(AD229/(AA229+AF229))/PI()&gt;0,24*ATAN(AD229/(AA229+AF229))/PI(),24*ATAN(AD229/(AA229+AF229))/PI()+24)</f>
        <v>1.02202604629824</v>
      </c>
      <c r="AI229" s="63" t="n">
        <f aca="false">IF(M229-15*AH229&gt;0,M229-15*AH229,360+M229-15*AH229)</f>
        <v>324.041611497834</v>
      </c>
      <c r="AJ229" s="32" t="n">
        <f aca="false">0.950724+0.051818*COS(P229)+0.009531*COS(2*R229-P229)+0.007843*COS(2*R229)+0.002824*COS(2*P229)+0.000857*COS(2*R229+P229)+0.000533*COS(2*R229-Q229)*(1-0.002495*(J229-2415020)/36525)+0.000401*COS(2*R229-Q229-P229)*(1-0.002495*(J229-2415020)/36525)+0.00032*COS(P229-Q229)*(1-0.002495*(J229-2415020)/36525)-0.000271*COS(R229)</f>
        <v>0.961194283878959</v>
      </c>
      <c r="AK229" s="36" t="n">
        <f aca="false">ASIN(COS($A$10*$B$5)*COS($A$10*AG229)*COS($A$10*AI229)+SIN($A$10*$B$5)*SIN($A$10*AG229))/$A$10</f>
        <v>34.6273711047216</v>
      </c>
      <c r="AL229" s="32" t="n">
        <f aca="false">ASIN((0.9983271+0.0016764*COS($A$10*2*$B$5))*COS($A$10*AK229)*SIN($A$10*AJ229))/$A$10</f>
        <v>0.789367690261047</v>
      </c>
      <c r="AM229" s="32" t="n">
        <f aca="false">AK229-AL229</f>
        <v>33.8380034144605</v>
      </c>
      <c r="AN229" s="35" t="n">
        <f aca="false"> MOD(280.4664567 + 360007.6982779*L229/10 + 0.03032028*L229^2/100 + L229^3/49931000,360)</f>
        <v>144.37778507344</v>
      </c>
      <c r="AO229" s="32" t="n">
        <f aca="false"> AN229 + (1.9146 - 0.004817*L229 - 0.000014*L229^2)*SIN(Q229)+ (0.019993 - 0.000101*L229)*SIN(2*Q229)+ 0.00029*SIN(3*Q229)</f>
        <v>143.140684530221</v>
      </c>
      <c r="AP229" s="32" t="n">
        <f aca="false">ACOS(COS(W229-$A$10*AO229)*COS(Y229))/$A$10</f>
        <v>127.559770083668</v>
      </c>
      <c r="AQ229" s="34" t="n">
        <f aca="false">180 - AP229 -0.1468*(1-0.0549*SIN(Q229))*SIN($A$10*AP229)/(1-0.0167*SIN($A$10*AO229))</f>
        <v>52.318443307987</v>
      </c>
      <c r="AR229" s="64" t="n">
        <f aca="false">SIN($A$10*AI229)</f>
        <v>-0.587197542554219</v>
      </c>
      <c r="AS229" s="64" t="n">
        <f aca="false">COS($A$10*AI229)*SIN($A$10*$B$5) - TAN($A$10*AG229)*COS($A$10*$B$5)</f>
        <v>0.578867760404075</v>
      </c>
      <c r="AT229" s="24" t="n">
        <f aca="false">IF(OR(AND(AR229*AS229&gt;0), AND(AR229&lt;0,AS229&gt;0)), MOD(ATAN2(AS229,AR229)/$A$10+360,360),  ATAN2(AS229,AR229)/$A$10)</f>
        <v>314.590714823292</v>
      </c>
      <c r="AU229" s="39" t="n">
        <f aca="false"> 385000.56 + (-20905355*COS(P229) - 3699111*COS(2*R229-P229) - 2955968*COS(2*R229) - 569925*COS(2*P229) + (1-0.002516*L229)*48888*COS(Q229) - 3149*COS(2*S229)  +246158*COS(2*R229-2*P229) -(1 - 0.002516*L229)*152138*COS(2*R229-Q229-P229) -170733*COS(2*R229+P229) -(1 - 0.002516*L229)*204586*COS(2*R229-Q229) -(1 - 0.002516*L229)*129620*COS(Q229-P229)  + 108743*COS(R229) +(1-0.002516*L229)*104755*COS(Q229+P229) +10321*COS(2*R229-2*S229) +79661*COS(P229-2*S229) -34782*COS(4*R229-P229) -23210*COS(3*P229)  -21636*COS(4*R229-2*P229) +(1 - 0.002516*L229)*24208*COS(2*R229+Q229-P229) +(1 - 0.002516*L229)*30824*COS(2*R229+Q229) -8379*COS(R229-P229) -(1 - 0.002516*L229)*16675*COS(R229+Q229)  -(1 - 0.002516*L229)*12831*COS(2*R229-Q229+P229) -10445*COS(2*R229+2*P229) -11650*COS(4*R229) +14403*COS(2*R229-3*P229) -(1-0.002516*L229)*7003*COS(Q229-2*P229)  + (1 - 0.002516*L229)*10056*COS(2*R229-Q229-2*P229) +6322*COS(R229+P229) -(1 - 0.002516*L229)*(1-0.002516*L229)*9884*COS(2*R229-2*Q229) +(1-0.002516*L229)*5751*COS(Q229+2*P229) - (1-0.002516*L229)^2*4950*COS(2*R229-2*Q229-P229)  +4130*COS(2*R229+P229-2*S229) -(1-0.002516*L229)*3958*COS(4*R229-Q229-P229) +3258*COS(3*R229-P229) +(1 - 0.002516*L229)*2616*COS(2*R229+Q229+P229) -(1 - 0.002516*L229)*1897*COS(4*R229-Q229-2*P229)  -(1-0.002516*L229)^2*2117*COS(2*Q229-P229) +(1-0.002516*L229)^2*2354*COS(2*R229+2*Q229-P229) -1423*COS(4*R229+P229) -1117*COS(4*P229) -(1-0.002516*L229)*1571*COS(4*R229-Q229)  -1739*COS(R229-2*P229) -4421*COS(2*P229-2*S229) +(1-0.002516*L229)^2*1165*COS(2*Q229+P229) +8752*COS(2*R229-P229-2*S229))/1000</f>
        <v>380143.393814012</v>
      </c>
      <c r="AV229" s="54" t="n">
        <f aca="false">ATAN(0.99664719*TAN($A$10*input!$E$2))</f>
        <v>0.871010436227447</v>
      </c>
      <c r="AW229" s="54" t="n">
        <f aca="false">COS(AV229)</f>
        <v>0.644053912545845</v>
      </c>
      <c r="AX229" s="54" t="n">
        <f aca="false">0.99664719*SIN(AV229)</f>
        <v>0.762415269897027</v>
      </c>
      <c r="AY229" s="54" t="n">
        <f aca="false">6378.14/AU229</f>
        <v>0.0167782476396803</v>
      </c>
      <c r="AZ229" s="55" t="n">
        <f aca="false">M229-15*AH229</f>
        <v>324.041611497834</v>
      </c>
      <c r="BA229" s="56" t="n">
        <f aca="false">COS($A$10*AG229)*SIN($A$10*AZ229)</f>
        <v>-0.585994942146204</v>
      </c>
      <c r="BB229" s="56" t="n">
        <f aca="false">COS($A$10*AG229)*COS($A$10*AZ229)-AW229*AY229</f>
        <v>0.796979800498521</v>
      </c>
      <c r="BC229" s="56" t="n">
        <f aca="false">SIN($A$10*AG229)-AX229*AY229</f>
        <v>0.051175758545384</v>
      </c>
      <c r="BD229" s="57" t="n">
        <f aca="false">SQRT(BA229^2+BB229^2+BC229^2)</f>
        <v>0.990548248641272</v>
      </c>
      <c r="BE229" s="58" t="n">
        <f aca="false">AU229*BD229</f>
        <v>376550.372975018</v>
      </c>
    </row>
    <row r="230" customFormat="false" ht="15" hidden="false" customHeight="false" outlineLevel="0" collapsed="false">
      <c r="D230" s="41" t="n">
        <f aca="false">K230-INT(275*E230/9)+IF($A$8="common year",2,1)*INT((E230+9)/12)+30</f>
        <v>17</v>
      </c>
      <c r="E230" s="41" t="n">
        <f aca="false">IF(K230&lt;32,1,INT(9*(IF($A$8="common year",2,1)+K230)/275+0.98))</f>
        <v>8</v>
      </c>
      <c r="F230" s="42" t="n">
        <f aca="false">AM230</f>
        <v>33.2584276949924</v>
      </c>
      <c r="G230" s="60" t="n">
        <f aca="false">F230+1.02/(TAN($A$10*(F230+10.3/(F230+5.11)))*60)</f>
        <v>33.2840857337622</v>
      </c>
      <c r="H230" s="43" t="n">
        <f aca="false">100*(1+COS($A$10*AQ230))/2</f>
        <v>71.5404462597954</v>
      </c>
      <c r="I230" s="43" t="n">
        <f aca="false">IF(AI230&gt;180,AT230-180,AT230+180)</f>
        <v>119.65040221653</v>
      </c>
      <c r="J230" s="61" t="n">
        <f aca="false">$J$2+K229</f>
        <v>2459808.5</v>
      </c>
      <c r="K230" s="21" t="n">
        <v>229</v>
      </c>
      <c r="L230" s="62" t="n">
        <f aca="false">(J230-2451545)/36525</f>
        <v>0.226242299794661</v>
      </c>
      <c r="M230" s="63" t="n">
        <f aca="false">MOD(280.46061837+360.98564736629*(J230-2451545)+0.000387933*L230^2-L230^3/38710000+$B$7,360)</f>
        <v>340.357649563812</v>
      </c>
      <c r="N230" s="30" t="n">
        <f aca="false">0.606433+1336.855225*L230 - INT(0.606433+1336.855225*L230)</f>
        <v>0.0596335965092294</v>
      </c>
      <c r="O230" s="35" t="n">
        <f aca="false">22640*SIN(P230)-4586*SIN(P230-2*R230)+2370*SIN(2*R230)+769*SIN(2*P230)-668*SIN(Q230)-412*SIN(2*S230)-212*SIN(2*P230-2*R230)-206*SIN(P230+Q230-2*R230)+192*SIN(P230+2*R230)-165*SIN(Q230-2*R230)-125*SIN(R230)-110*SIN(P230+Q230)+148*SIN(P230-Q230)-55*SIN(2*S230-2*R230)</f>
        <v>26074.8173604836</v>
      </c>
      <c r="P230" s="32" t="n">
        <f aca="false">2*PI()*(0.374897+1325.55241*L230 - INT(0.374897+1325.55241*L230))</f>
        <v>1.70225775896372</v>
      </c>
      <c r="Q230" s="36" t="n">
        <f aca="false">2*PI()*(0.993133+99.997361*L230 - INT(0.993133+99.997361*L230))</f>
        <v>3.87525460444443</v>
      </c>
      <c r="R230" s="36" t="n">
        <f aca="false">2*PI()*(0.827361+1236.853086*L230 - INT(0.827361+1236.853086*L230))</f>
        <v>4.12081253665592</v>
      </c>
      <c r="S230" s="36" t="n">
        <f aca="false">2*PI()*(0.259086+1342.227825*L230 - INT(0.259086+1342.227825*L230))</f>
        <v>5.82951404688917</v>
      </c>
      <c r="T230" s="36" t="n">
        <f aca="false">S230+(O230+412*SIN(2*S230)+541*SIN(Q230))/206264.8062</f>
        <v>5.95259837274859</v>
      </c>
      <c r="U230" s="36" t="n">
        <f aca="false">S230-2*R230</f>
        <v>-2.41211102642266</v>
      </c>
      <c r="V230" s="34" t="n">
        <f aca="false">-526*SIN(U230)+44*SIN(P230+U230)-31*SIN(-P230+U230)-23*SIN(Q230+U230)+11*SIN(-Q230+U230)-25*SIN(-2*P230+S230)+21*SIN(-P230+S230)</f>
        <v>239.434641289017</v>
      </c>
      <c r="W230" s="36" t="n">
        <f aca="false">2*PI()*(N230+O230/1296000-INT(N230+O230/1296000))</f>
        <v>0.501103219289015</v>
      </c>
      <c r="X230" s="35" t="n">
        <f aca="false">W230*180/PI()</f>
        <v>28.7110995656791</v>
      </c>
      <c r="Y230" s="36" t="n">
        <f aca="false">(18520*SIN(T230)+V230)/206264.8062</f>
        <v>-0.0279840503146824</v>
      </c>
      <c r="Z230" s="36" t="n">
        <f aca="false">Y230*180/PI()</f>
        <v>-1.60336797671305</v>
      </c>
      <c r="AA230" s="36" t="n">
        <f aca="false">COS(Y230)*COS(W230)</f>
        <v>0.876709725607356</v>
      </c>
      <c r="AB230" s="36" t="n">
        <f aca="false">COS(Y230)*SIN(W230)</f>
        <v>0.480205325200599</v>
      </c>
      <c r="AC230" s="36" t="n">
        <f aca="false">SIN(Y230)</f>
        <v>-0.0279803980397406</v>
      </c>
      <c r="AD230" s="36" t="n">
        <f aca="false">COS($A$10*(23.4393-46.815*L230/3600))*AB230-SIN($A$10*(23.4393-46.815*L230/3600))*AC230</f>
        <v>0.451718199133583</v>
      </c>
      <c r="AE230" s="36" t="n">
        <f aca="false">SIN($A$10*(23.4393-46.815*L230/3600))*AB230+COS($A$10*(23.4393-46.815*L230/3600))*AC230</f>
        <v>0.165320070157823</v>
      </c>
      <c r="AF230" s="36" t="n">
        <f aca="false">SQRT(1-AE230*AE230)</f>
        <v>0.986239967960644</v>
      </c>
      <c r="AG230" s="35" t="n">
        <f aca="false">ATAN(AE230/AF230)/$A$10</f>
        <v>9.5158284936191</v>
      </c>
      <c r="AH230" s="36" t="n">
        <f aca="false">IF(24*ATAN(AD230/(AA230+AF230))/PI()&gt;0,24*ATAN(AD230/(AA230+AF230))/PI(),24*ATAN(AD230/(AA230+AF230))/PI()+24)</f>
        <v>1.81729683531351</v>
      </c>
      <c r="AI230" s="63" t="n">
        <f aca="false">IF(M230-15*AH230&gt;0,M230-15*AH230,360+M230-15*AH230)</f>
        <v>313.098197034109</v>
      </c>
      <c r="AJ230" s="32" t="n">
        <f aca="false">0.950724+0.051818*COS(P230)+0.009531*COS(2*R230-P230)+0.007843*COS(2*R230)+0.002824*COS(2*P230)+0.000857*COS(2*R230+P230)+0.000533*COS(2*R230-Q230)*(1-0.002495*(J230-2415020)/36525)+0.000401*COS(2*R230-Q230-P230)*(1-0.002495*(J230-2415020)/36525)+0.00032*COS(P230-Q230)*(1-0.002495*(J230-2415020)/36525)-0.000271*COS(R230)</f>
        <v>0.946150857502865</v>
      </c>
      <c r="AK230" s="36" t="n">
        <f aca="false">ASIN(COS($A$10*$B$5)*COS($A$10*AG230)*COS($A$10*AI230)+SIN($A$10*$B$5)*SIN($A$10*AG230))/$A$10</f>
        <v>34.0408934346613</v>
      </c>
      <c r="AL230" s="32" t="n">
        <f aca="false">ASIN((0.9983271+0.0016764*COS($A$10*2*$B$5))*COS($A$10*AK230)*SIN($A$10*AJ230))/$A$10</f>
        <v>0.782465739668954</v>
      </c>
      <c r="AM230" s="32" t="n">
        <f aca="false">AK230-AL230</f>
        <v>33.2584276949924</v>
      </c>
      <c r="AN230" s="35" t="n">
        <f aca="false"> MOD(280.4664567 + 360007.6982779*L230/10 + 0.03032028*L230^2/100 + L230^3/49931000,360)</f>
        <v>145.363432437302</v>
      </c>
      <c r="AO230" s="32" t="n">
        <f aca="false"> AN230 + (1.9146 - 0.004817*L230 - 0.000014*L230^2)*SIN(Q230)+ (0.019993 - 0.000101*L230)*SIN(2*Q230)+ 0.00029*SIN(3*Q230)</f>
        <v>144.101787114448</v>
      </c>
      <c r="AP230" s="32" t="n">
        <f aca="false">ACOS(COS(W230-$A$10*AO230)*COS(Y230))/$A$10</f>
        <v>115.380040561472</v>
      </c>
      <c r="AQ230" s="34" t="n">
        <f aca="false">180 - AP230 -0.1468*(1-0.0549*SIN(Q230))*SIN($A$10*AP230)/(1-0.0167*SIN($A$10*AO230))</f>
        <v>64.4810924758995</v>
      </c>
      <c r="AR230" s="64" t="n">
        <f aca="false">SIN($A$10*AI230)</f>
        <v>-0.730183777307284</v>
      </c>
      <c r="AS230" s="64" t="n">
        <f aca="false">COS($A$10*AI230)*SIN($A$10*$B$5) - TAN($A$10*AG230)*COS($A$10*$B$5)</f>
        <v>0.415652163193161</v>
      </c>
      <c r="AT230" s="24" t="n">
        <f aca="false">IF(OR(AND(AR230*AS230&gt;0), AND(AR230&lt;0,AS230&gt;0)), MOD(ATAN2(AS230,AR230)/$A$10+360,360),  ATAN2(AS230,AR230)/$A$10)</f>
        <v>299.65040221653</v>
      </c>
      <c r="AU230" s="39" t="n">
        <f aca="false"> 385000.56 + (-20905355*COS(P230) - 3699111*COS(2*R230-P230) - 2955968*COS(2*R230) - 569925*COS(2*P230) + (1-0.002516*L230)*48888*COS(Q230) - 3149*COS(2*S230)  +246158*COS(2*R230-2*P230) -(1 - 0.002516*L230)*152138*COS(2*R230-Q230-P230) -170733*COS(2*R230+P230) -(1 - 0.002516*L230)*204586*COS(2*R230-Q230) -(1 - 0.002516*L230)*129620*COS(Q230-P230)  + 108743*COS(R230) +(1-0.002516*L230)*104755*COS(Q230+P230) +10321*COS(2*R230-2*S230) +79661*COS(P230-2*S230) -34782*COS(4*R230-P230) -23210*COS(3*P230)  -21636*COS(4*R230-2*P230) +(1 - 0.002516*L230)*24208*COS(2*R230+Q230-P230) +(1 - 0.002516*L230)*30824*COS(2*R230+Q230) -8379*COS(R230-P230) -(1 - 0.002516*L230)*16675*COS(R230+Q230)  -(1 - 0.002516*L230)*12831*COS(2*R230-Q230+P230) -10445*COS(2*R230+2*P230) -11650*COS(4*R230) +14403*COS(2*R230-3*P230) -(1-0.002516*L230)*7003*COS(Q230-2*P230)  + (1 - 0.002516*L230)*10056*COS(2*R230-Q230-2*P230) +6322*COS(R230+P230) -(1 - 0.002516*L230)*(1-0.002516*L230)*9884*COS(2*R230-2*Q230) +(1-0.002516*L230)*5751*COS(Q230+2*P230) - (1-0.002516*L230)^2*4950*COS(2*R230-2*Q230-P230)  +4130*COS(2*R230+P230-2*S230) -(1-0.002516*L230)*3958*COS(4*R230-Q230-P230) +3258*COS(3*R230-P230) +(1 - 0.002516*L230)*2616*COS(2*R230+Q230+P230) -(1 - 0.002516*L230)*1897*COS(4*R230-Q230-2*P230)  -(1-0.002516*L230)^2*2117*COS(2*Q230-P230) +(1-0.002516*L230)^2*2354*COS(2*R230+2*Q230-P230) -1423*COS(4*R230+P230) -1117*COS(4*P230) -(1-0.002516*L230)*1571*COS(4*R230-Q230)  -1739*COS(R230-2*P230) -4421*COS(2*P230-2*S230) +(1-0.002516*L230)^2*1165*COS(2*Q230+P230) +8752*COS(2*R230-P230-2*S230))/1000</f>
        <v>386176.231371114</v>
      </c>
      <c r="AV230" s="54" t="n">
        <f aca="false">ATAN(0.99664719*TAN($A$10*input!$E$2))</f>
        <v>0.871010436227447</v>
      </c>
      <c r="AW230" s="54" t="n">
        <f aca="false">COS(AV230)</f>
        <v>0.644053912545845</v>
      </c>
      <c r="AX230" s="54" t="n">
        <f aca="false">0.99664719*SIN(AV230)</f>
        <v>0.762415269897027</v>
      </c>
      <c r="AY230" s="54" t="n">
        <f aca="false">6378.14/AU230</f>
        <v>0.016516138182183</v>
      </c>
      <c r="AZ230" s="55" t="n">
        <f aca="false">M230-15*AH230</f>
        <v>313.098197034109</v>
      </c>
      <c r="BA230" s="56" t="n">
        <f aca="false">COS($A$10*AG230)*SIN($A$10*AZ230)</f>
        <v>-0.720136425136918</v>
      </c>
      <c r="BB230" s="56" t="n">
        <f aca="false">COS($A$10*AG230)*COS($A$10*AZ230)-AW230*AY230</f>
        <v>0.663211960549975</v>
      </c>
      <c r="BC230" s="56" t="n">
        <f aca="false">SIN($A$10*AG230)-AX230*AY230</f>
        <v>0.152727914207998</v>
      </c>
      <c r="BD230" s="57" t="n">
        <f aca="false">SQRT(BA230^2+BB230^2+BC230^2)</f>
        <v>0.990844282016023</v>
      </c>
      <c r="BE230" s="58" t="n">
        <f aca="false">AU230*BD230</f>
        <v>382640.510704565</v>
      </c>
    </row>
    <row r="231" customFormat="false" ht="15" hidden="false" customHeight="false" outlineLevel="0" collapsed="false">
      <c r="D231" s="41" t="n">
        <f aca="false">K231-INT(275*E231/9)+IF($A$8="common year",2,1)*INT((E231+9)/12)+30</f>
        <v>18</v>
      </c>
      <c r="E231" s="41" t="n">
        <f aca="false">IF(K231&lt;32,1,INT(9*(IF($A$8="common year",2,1)+K231)/275+0.98))</f>
        <v>8</v>
      </c>
      <c r="F231" s="42" t="n">
        <f aca="false">AM231</f>
        <v>30.9646007996772</v>
      </c>
      <c r="G231" s="60" t="n">
        <f aca="false">F231+1.02/(TAN($A$10*(F231+10.3/(F231+5.11)))*60)</f>
        <v>30.9926158000663</v>
      </c>
      <c r="H231" s="43" t="n">
        <f aca="false">100*(1+COS($A$10*AQ231))/2</f>
        <v>61.8919843842011</v>
      </c>
      <c r="I231" s="43" t="n">
        <f aca="false">IF(AI231&gt;180,AT231-180,AT231+180)</f>
        <v>105.709651491291</v>
      </c>
      <c r="J231" s="61" t="n">
        <f aca="false">$J$2+K230</f>
        <v>2459809.5</v>
      </c>
      <c r="K231" s="21" t="n">
        <v>230</v>
      </c>
      <c r="L231" s="62" t="n">
        <f aca="false">(J231-2451545)/36525</f>
        <v>0.226269678302533</v>
      </c>
      <c r="M231" s="63" t="n">
        <f aca="false">MOD(280.46061837+360.98564736629*(J231-2451545)+0.000387933*L231^2-L231^3/38710000+$B$7,360)</f>
        <v>341.343296934851</v>
      </c>
      <c r="N231" s="30" t="n">
        <f aca="false">0.606433+1336.855225*L231 - INT(0.606433+1336.855225*L231)</f>
        <v>0.0962346978096775</v>
      </c>
      <c r="O231" s="35" t="n">
        <f aca="false">22640*SIN(P231)-4586*SIN(P231-2*R231)+2370*SIN(2*R231)+769*SIN(2*P231)-668*SIN(Q231)-412*SIN(2*S231)-212*SIN(2*P231-2*R231)-206*SIN(P231+Q231-2*R231)+192*SIN(P231+2*R231)-165*SIN(Q231-2*R231)-125*SIN(R231)-110*SIN(P231+Q231)+148*SIN(P231-Q231)-55*SIN(2*S231-2*R231)</f>
        <v>24510.9343223007</v>
      </c>
      <c r="P231" s="32" t="n">
        <f aca="false">2*PI()*(0.374897+1325.55241*L231 - INT(0.374897+1325.55241*L231))</f>
        <v>1.93028490273954</v>
      </c>
      <c r="Q231" s="36" t="n">
        <f aca="false">2*PI()*(0.993133+99.997361*L231 - INT(0.993133+99.997361*L231))</f>
        <v>3.89245657431143</v>
      </c>
      <c r="R231" s="36" t="n">
        <f aca="false">2*PI()*(0.827361+1236.853086*L231 - INT(0.827361+1236.853086*L231))</f>
        <v>4.33358124677494</v>
      </c>
      <c r="S231" s="36" t="n">
        <f aca="false">2*PI()*(0.259086+1342.227825*L231 - INT(0.259086+1342.227825*L231))</f>
        <v>6.06040976622982</v>
      </c>
      <c r="T231" s="36" t="n">
        <f aca="false">S231+(O231+412*SIN(2*S231)+541*SIN(Q231))/206264.8062</f>
        <v>6.17659183723393</v>
      </c>
      <c r="U231" s="36" t="n">
        <f aca="false">S231-2*R231</f>
        <v>-2.60675272732007</v>
      </c>
      <c r="V231" s="34" t="n">
        <f aca="false">-526*SIN(U231)+44*SIN(P231+U231)-31*SIN(-P231+U231)-23*SIN(Q231+U231)+11*SIN(-Q231+U231)-25*SIN(-2*P231+S231)+21*SIN(-P231+S231)</f>
        <v>147.849628139712</v>
      </c>
      <c r="W231" s="36" t="n">
        <f aca="false">2*PI()*(N231+O231/1296000-INT(N231+O231/1296000))</f>
        <v>0.72349280228092</v>
      </c>
      <c r="X231" s="35" t="n">
        <f aca="false">W231*180/PI()</f>
        <v>41.4530840787897</v>
      </c>
      <c r="Y231" s="36" t="n">
        <f aca="false">(18520*SIN(T231)+V231)/206264.8062</f>
        <v>-0.00883585148874109</v>
      </c>
      <c r="Z231" s="36" t="n">
        <f aca="false">Y231*180/PI()</f>
        <v>-0.50625699870925</v>
      </c>
      <c r="AA231" s="36" t="n">
        <f aca="false">COS(Y231)*COS(W231)</f>
        <v>0.749468790334874</v>
      </c>
      <c r="AB231" s="36" t="n">
        <f aca="false">COS(Y231)*SIN(W231)</f>
        <v>0.661980711255387</v>
      </c>
      <c r="AC231" s="36" t="n">
        <f aca="false">SIN(Y231)</f>
        <v>-0.00883573651669046</v>
      </c>
      <c r="AD231" s="36" t="n">
        <f aca="false">COS($A$10*(23.4393-46.815*L231/3600))*AB231-SIN($A$10*(23.4393-46.815*L231/3600))*AC231</f>
        <v>0.610883148390263</v>
      </c>
      <c r="AE231" s="36" t="n">
        <f aca="false">SIN($A$10*(23.4393-46.815*L231/3600))*AB231+COS($A$10*(23.4393-46.815*L231/3600))*AC231</f>
        <v>0.255182897794466</v>
      </c>
      <c r="AF231" s="36" t="n">
        <f aca="false">SQRT(1-AE231*AE231)</f>
        <v>0.966892801024612</v>
      </c>
      <c r="AG231" s="35" t="n">
        <f aca="false">ATAN(AE231/AF231)/$A$10</f>
        <v>14.7844229709736</v>
      </c>
      <c r="AH231" s="36" t="n">
        <f aca="false">IF(24*ATAN(AD231/(AA231+AF231))/PI()&gt;0,24*ATAN(AD231/(AA231+AF231))/PI(),24*ATAN(AD231/(AA231+AF231))/PI()+24)</f>
        <v>2.61220464195809</v>
      </c>
      <c r="AI231" s="63" t="n">
        <f aca="false">IF(M231-15*AH231&gt;0,M231-15*AH231,360+M231-15*AH231)</f>
        <v>302.160227305479</v>
      </c>
      <c r="AJ231" s="32" t="n">
        <f aca="false">0.950724+0.051818*COS(P231)+0.009531*COS(2*R231-P231)+0.007843*COS(2*R231)+0.002824*COS(2*P231)+0.000857*COS(2*R231+P231)+0.000533*COS(2*R231-Q231)*(1-0.002495*(J231-2415020)/36525)+0.000401*COS(2*R231-Q231-P231)*(1-0.002495*(J231-2415020)/36525)+0.00032*COS(P231-Q231)*(1-0.002495*(J231-2415020)/36525)-0.000271*COS(R231)</f>
        <v>0.932535809122931</v>
      </c>
      <c r="AK231" s="36" t="n">
        <f aca="false">ASIN(COS($A$10*$B$5)*COS($A$10*AG231)*COS($A$10*AI231)+SIN($A$10*$B$5)*SIN($A$10*AG231))/$A$10</f>
        <v>31.7559664942178</v>
      </c>
      <c r="AL231" s="32" t="n">
        <f aca="false">ASIN((0.9983271+0.0016764*COS($A$10*2*$B$5))*COS($A$10*AK231)*SIN($A$10*AJ231))/$A$10</f>
        <v>0.791365694540556</v>
      </c>
      <c r="AM231" s="32" t="n">
        <f aca="false">AK231-AL231</f>
        <v>30.9646007996772</v>
      </c>
      <c r="AN231" s="35" t="n">
        <f aca="false"> MOD(280.4664567 + 360007.6982779*L231/10 + 0.03032028*L231^2/100 + L231^3/49931000,360)</f>
        <v>146.349079801161</v>
      </c>
      <c r="AO231" s="32" t="n">
        <f aca="false"> AN231 + (1.9146 - 0.004817*L231 - 0.000014*L231^2)*SIN(Q231)+ (0.019993 - 0.000101*L231)*SIN(2*Q231)+ 0.00029*SIN(3*Q231)</f>
        <v>145.063245946998</v>
      </c>
      <c r="AP231" s="32" t="n">
        <f aca="false">ACOS(COS(W231-$A$10*AO231)*COS(Y231))/$A$10</f>
        <v>103.609620360541</v>
      </c>
      <c r="AQ231" s="34" t="n">
        <f aca="false">180 - AP231 -0.1468*(1-0.0549*SIN(Q231))*SIN($A$10*AP231)/(1-0.0167*SIN($A$10*AO231))</f>
        <v>76.2409280201768</v>
      </c>
      <c r="AR231" s="64" t="n">
        <f aca="false">SIN($A$10*AI231)</f>
        <v>-0.846562866001422</v>
      </c>
      <c r="AS231" s="64" t="n">
        <f aca="false">COS($A$10*AI231)*SIN($A$10*$B$5) - TAN($A$10*AG231)*COS($A$10*$B$5)</f>
        <v>0.23811196803484</v>
      </c>
      <c r="AT231" s="24" t="n">
        <f aca="false">IF(OR(AND(AR231*AS231&gt;0), AND(AR231&lt;0,AS231&gt;0)), MOD(ATAN2(AS231,AR231)/$A$10+360,360),  ATAN2(AS231,AR231)/$A$10)</f>
        <v>285.709651491291</v>
      </c>
      <c r="AU231" s="39" t="n">
        <f aca="false"> 385000.56 + (-20905355*COS(P231) - 3699111*COS(2*R231-P231) - 2955968*COS(2*R231) - 569925*COS(2*P231) + (1-0.002516*L231)*48888*COS(Q231) - 3149*COS(2*S231)  +246158*COS(2*R231-2*P231) -(1 - 0.002516*L231)*152138*COS(2*R231-Q231-P231) -170733*COS(2*R231+P231) -(1 - 0.002516*L231)*204586*COS(2*R231-Q231) -(1 - 0.002516*L231)*129620*COS(Q231-P231)  + 108743*COS(R231) +(1-0.002516*L231)*104755*COS(Q231+P231) +10321*COS(2*R231-2*S231) +79661*COS(P231-2*S231) -34782*COS(4*R231-P231) -23210*COS(3*P231)  -21636*COS(4*R231-2*P231) +(1 - 0.002516*L231)*24208*COS(2*R231+Q231-P231) +(1 - 0.002516*L231)*30824*COS(2*R231+Q231) -8379*COS(R231-P231) -(1 - 0.002516*L231)*16675*COS(R231+Q231)  -(1 - 0.002516*L231)*12831*COS(2*R231-Q231+P231) -10445*COS(2*R231+2*P231) -11650*COS(4*R231) +14403*COS(2*R231-3*P231) -(1-0.002516*L231)*7003*COS(Q231-2*P231)  + (1 - 0.002516*L231)*10056*COS(2*R231-Q231-2*P231) +6322*COS(R231+P231) -(1 - 0.002516*L231)*(1-0.002516*L231)*9884*COS(2*R231-2*Q231) +(1-0.002516*L231)*5751*COS(Q231+2*P231) - (1-0.002516*L231)^2*4950*COS(2*R231-2*Q231-P231)  +4130*COS(2*R231+P231-2*S231) -(1-0.002516*L231)*3958*COS(4*R231-Q231-P231) +3258*COS(3*R231-P231) +(1 - 0.002516*L231)*2616*COS(2*R231+Q231+P231) -(1 - 0.002516*L231)*1897*COS(4*R231-Q231-2*P231)  -(1-0.002516*L231)^2*2117*COS(2*Q231-P231) +(1-0.002516*L231)^2*2354*COS(2*R231+2*Q231-P231) -1423*COS(4*R231+P231) -1117*COS(4*P231) -(1-0.002516*L231)*1571*COS(4*R231-Q231)  -1739*COS(R231-2*P231) -4421*COS(2*P231-2*S231) +(1-0.002516*L231)^2*1165*COS(2*Q231+P231) +8752*COS(2*R231-P231-2*S231))/1000</f>
        <v>391818.711756136</v>
      </c>
      <c r="AV231" s="54" t="n">
        <f aca="false">ATAN(0.99664719*TAN($A$10*input!$E$2))</f>
        <v>0.871010436227447</v>
      </c>
      <c r="AW231" s="54" t="n">
        <f aca="false">COS(AV231)</f>
        <v>0.644053912545845</v>
      </c>
      <c r="AX231" s="54" t="n">
        <f aca="false">0.99664719*SIN(AV231)</f>
        <v>0.762415269897027</v>
      </c>
      <c r="AY231" s="54" t="n">
        <f aca="false">6378.14/AU231</f>
        <v>0.0162782935286911</v>
      </c>
      <c r="AZ231" s="55" t="n">
        <f aca="false">M231-15*AH231</f>
        <v>302.160227305479</v>
      </c>
      <c r="BA231" s="56" t="n">
        <f aca="false">COS($A$10*AG231)*SIN($A$10*AZ231)</f>
        <v>-0.818535540751538</v>
      </c>
      <c r="BB231" s="56" t="n">
        <f aca="false">COS($A$10*AG231)*COS($A$10*AZ231)-AW231*AY231</f>
        <v>0.504182062286847</v>
      </c>
      <c r="BC231" s="56" t="n">
        <f aca="false">SIN($A$10*AG231)-AX231*AY231</f>
        <v>0.242772078240326</v>
      </c>
      <c r="BD231" s="57" t="n">
        <f aca="false">SQRT(BA231^2+BB231^2+BC231^2)</f>
        <v>0.991533290100921</v>
      </c>
      <c r="BE231" s="58" t="n">
        <f aca="false">AU231*BD231</f>
        <v>388501.296390667</v>
      </c>
    </row>
    <row r="232" customFormat="false" ht="15" hidden="false" customHeight="false" outlineLevel="0" collapsed="false">
      <c r="D232" s="41" t="n">
        <f aca="false">K232-INT(275*E232/9)+IF($A$8="common year",2,1)*INT((E232+9)/12)+30</f>
        <v>19</v>
      </c>
      <c r="E232" s="41" t="n">
        <f aca="false">IF(K232&lt;32,1,INT(9*(IF($A$8="common year",2,1)+K232)/275+0.98))</f>
        <v>8</v>
      </c>
      <c r="F232" s="42" t="n">
        <f aca="false">AM232</f>
        <v>27.2776101758231</v>
      </c>
      <c r="G232" s="60" t="n">
        <f aca="false">F232+1.02/(TAN($A$10*(F232+10.3/(F232+5.11)))*60)</f>
        <v>27.310134214084</v>
      </c>
      <c r="H232" s="43" t="n">
        <f aca="false">100*(1+COS($A$10*AQ232))/2</f>
        <v>52.0464285567269</v>
      </c>
      <c r="I232" s="43" t="n">
        <f aca="false">IF(AI232&gt;180,AT232-180,AT232+180)</f>
        <v>93.0554967264304</v>
      </c>
      <c r="J232" s="61" t="n">
        <f aca="false">$J$2+K231</f>
        <v>2459810.5</v>
      </c>
      <c r="K232" s="21" t="n">
        <v>231</v>
      </c>
      <c r="L232" s="62" t="n">
        <f aca="false">(J232-2451545)/36525</f>
        <v>0.226297056810404</v>
      </c>
      <c r="M232" s="63" t="n">
        <f aca="false">MOD(280.46061837+360.98564736629*(J232-2451545)+0.000387933*L232^2-L232^3/38710000+$B$7,360)</f>
        <v>342.328944305424</v>
      </c>
      <c r="N232" s="30" t="n">
        <f aca="false">0.606433+1336.855225*L232 - INT(0.606433+1336.855225*L232)</f>
        <v>0.132835799110183</v>
      </c>
      <c r="O232" s="35" t="n">
        <f aca="false">22640*SIN(P232)-4586*SIN(P232-2*R232)+2370*SIN(2*R232)+769*SIN(2*P232)-668*SIN(Q232)-412*SIN(2*S232)-212*SIN(2*P232-2*R232)-206*SIN(P232+Q232-2*R232)+192*SIN(P232+2*R232)-165*SIN(Q232-2*R232)-125*SIN(R232)-110*SIN(P232+Q232)+148*SIN(P232-Q232)-55*SIN(2*S232-2*R232)</f>
        <v>21643.5542179688</v>
      </c>
      <c r="P232" s="32" t="n">
        <f aca="false">2*PI()*(0.374897+1325.55241*L232 - INT(0.374897+1325.55241*L232))</f>
        <v>2.15831204651536</v>
      </c>
      <c r="Q232" s="36" t="n">
        <f aca="false">2*PI()*(0.993133+99.997361*L232 - INT(0.993133+99.997361*L232))</f>
        <v>3.90965854417842</v>
      </c>
      <c r="R232" s="36" t="n">
        <f aca="false">2*PI()*(0.827361+1236.853086*L232 - INT(0.827361+1236.853086*L232))</f>
        <v>4.54634995689397</v>
      </c>
      <c r="S232" s="36" t="n">
        <f aca="false">2*PI()*(0.259086+1342.227825*L232 - INT(0.259086+1342.227825*L232))</f>
        <v>0.00812017839123791</v>
      </c>
      <c r="T232" s="36" t="n">
        <f aca="false">S232+(O232+412*SIN(2*S232)+541*SIN(Q232))/206264.8062</f>
        <v>0.111261320453901</v>
      </c>
      <c r="U232" s="36" t="n">
        <f aca="false">S232-2*R232</f>
        <v>-9.0845797353967</v>
      </c>
      <c r="V232" s="34" t="n">
        <f aca="false">-526*SIN(U232)+44*SIN(P232+U232)-31*SIN(-P232+U232)-23*SIN(Q232+U232)+11*SIN(-Q232+U232)-25*SIN(-2*P232+S232)+21*SIN(-P232+S232)</f>
        <v>53.3617651695291</v>
      </c>
      <c r="W232" s="36" t="n">
        <f aca="false">2*PI()*(N232+O232/1296000-INT(N232+O232/1296000))</f>
        <v>0.939562853163631</v>
      </c>
      <c r="X232" s="35" t="n">
        <f aca="false">W232*180/PI()</f>
        <v>53.8329860735459</v>
      </c>
      <c r="Y232" s="36" t="n">
        <f aca="false">(18520*SIN(T232)+V232)/206264.8062</f>
        <v>0.0102279820948149</v>
      </c>
      <c r="Z232" s="36" t="n">
        <f aca="false">Y232*180/PI()</f>
        <v>0.586020206968269</v>
      </c>
      <c r="AA232" s="36" t="n">
        <f aca="false">COS(Y232)*COS(W232)</f>
        <v>0.590110122602425</v>
      </c>
      <c r="AB232" s="36" t="n">
        <f aca="false">COS(Y232)*SIN(W232)</f>
        <v>0.80725797316114</v>
      </c>
      <c r="AC232" s="36" t="n">
        <f aca="false">SIN(Y232)</f>
        <v>0.0102278037681221</v>
      </c>
      <c r="AD232" s="36" t="n">
        <f aca="false">COS($A$10*(23.4393-46.815*L232/3600))*AB232-SIN($A$10*(23.4393-46.815*L232/3600))*AC232</f>
        <v>0.736593245544005</v>
      </c>
      <c r="AE232" s="36" t="n">
        <f aca="false">SIN($A$10*(23.4393-46.815*L232/3600))*AB232+COS($A$10*(23.4393-46.815*L232/3600))*AC232</f>
        <v>0.330454889237698</v>
      </c>
      <c r="AF232" s="36" t="n">
        <f aca="false">SQRT(1-AE232*AE232)</f>
        <v>0.94382178729827</v>
      </c>
      <c r="AG232" s="35" t="n">
        <f aca="false">ATAN(AE232/AF232)/$A$10</f>
        <v>19.29638773369</v>
      </c>
      <c r="AH232" s="36" t="n">
        <f aca="false">IF(24*ATAN(AD232/(AA232+AF232))/PI()&gt;0,24*ATAN(AD232/(AA232+AF232))/PI(),24*ATAN(AD232/(AA232+AF232))/PI()+24)</f>
        <v>3.4200389900406</v>
      </c>
      <c r="AI232" s="63" t="n">
        <f aca="false">IF(M232-15*AH232&gt;0,M232-15*AH232,360+M232-15*AH232)</f>
        <v>291.028359454815</v>
      </c>
      <c r="AJ232" s="32" t="n">
        <f aca="false">0.950724+0.051818*COS(P232)+0.009531*COS(2*R232-P232)+0.007843*COS(2*R232)+0.002824*COS(2*P232)+0.000857*COS(2*R232+P232)+0.000533*COS(2*R232-Q232)*(1-0.002495*(J232-2415020)/36525)+0.000401*COS(2*R232-Q232-P232)*(1-0.002495*(J232-2415020)/36525)+0.00032*COS(P232-Q232)*(1-0.002495*(J232-2415020)/36525)-0.000271*COS(R232)</f>
        <v>0.921126822028373</v>
      </c>
      <c r="AK232" s="36" t="n">
        <f aca="false">ASIN(COS($A$10*$B$5)*COS($A$10*AG232)*COS($A$10*AI232)+SIN($A$10*$B$5)*SIN($A$10*AG232))/$A$10</f>
        <v>28.0886430013827</v>
      </c>
      <c r="AL232" s="32" t="n">
        <f aca="false">ASIN((0.9983271+0.0016764*COS($A$10*2*$B$5))*COS($A$10*AK232)*SIN($A$10*AJ232))/$A$10</f>
        <v>0.811032825559529</v>
      </c>
      <c r="AM232" s="32" t="n">
        <f aca="false">AK232-AL232</f>
        <v>27.2776101758231</v>
      </c>
      <c r="AN232" s="35" t="n">
        <f aca="false"> MOD(280.4664567 + 360007.6982779*L232/10 + 0.03032028*L232^2/100 + L232^3/49931000,360)</f>
        <v>147.334727165022</v>
      </c>
      <c r="AO232" s="32" t="n">
        <f aca="false"> AN232 + (1.9146 - 0.004817*L232 - 0.000014*L232^2)*SIN(Q232)+ (0.019993 - 0.000101*L232)*SIN(2*Q232)+ 0.00029*SIN(3*Q232)</f>
        <v>146.025068111087</v>
      </c>
      <c r="AP232" s="32" t="n">
        <f aca="false">ACOS(COS(W232-$A$10*AO232)*COS(Y232))/$A$10</f>
        <v>92.191967323945</v>
      </c>
      <c r="AQ232" s="34" t="n">
        <f aca="false">180 - AP232 -0.1468*(1-0.0549*SIN(Q232))*SIN($A$10*AP232)/(1-0.0167*SIN($A$10*AO232))</f>
        <v>87.6543104052116</v>
      </c>
      <c r="AR232" s="64" t="n">
        <f aca="false">SIN($A$10*AI232)</f>
        <v>-0.933402932244397</v>
      </c>
      <c r="AS232" s="64" t="n">
        <f aca="false">COS($A$10*AI232)*SIN($A$10*$B$5) - TAN($A$10*AG232)*COS($A$10*$B$5)</f>
        <v>0.0498241989654941</v>
      </c>
      <c r="AT232" s="24" t="n">
        <f aca="false">IF(OR(AND(AR232*AS232&gt;0), AND(AR232&lt;0,AS232&gt;0)), MOD(ATAN2(AS232,AR232)/$A$10+360,360),  ATAN2(AS232,AR232)/$A$10)</f>
        <v>273.05549672643</v>
      </c>
      <c r="AU232" s="39" t="n">
        <f aca="false"> 385000.56 + (-20905355*COS(P232) - 3699111*COS(2*R232-P232) - 2955968*COS(2*R232) - 569925*COS(2*P232) + (1-0.002516*L232)*48888*COS(Q232) - 3149*COS(2*S232)  +246158*COS(2*R232-2*P232) -(1 - 0.002516*L232)*152138*COS(2*R232-Q232-P232) -170733*COS(2*R232+P232) -(1 - 0.002516*L232)*204586*COS(2*R232-Q232) -(1 - 0.002516*L232)*129620*COS(Q232-P232)  + 108743*COS(R232) +(1-0.002516*L232)*104755*COS(Q232+P232) +10321*COS(2*R232-2*S232) +79661*COS(P232-2*S232) -34782*COS(4*R232-P232) -23210*COS(3*P232)  -21636*COS(4*R232-2*P232) +(1 - 0.002516*L232)*24208*COS(2*R232+Q232-P232) +(1 - 0.002516*L232)*30824*COS(2*R232+Q232) -8379*COS(R232-P232) -(1 - 0.002516*L232)*16675*COS(R232+Q232)  -(1 - 0.002516*L232)*12831*COS(2*R232-Q232+P232) -10445*COS(2*R232+2*P232) -11650*COS(4*R232) +14403*COS(2*R232-3*P232) -(1-0.002516*L232)*7003*COS(Q232-2*P232)  + (1 - 0.002516*L232)*10056*COS(2*R232-Q232-2*P232) +6322*COS(R232+P232) -(1 - 0.002516*L232)*(1-0.002516*L232)*9884*COS(2*R232-2*Q232) +(1-0.002516*L232)*5751*COS(Q232+2*P232) - (1-0.002516*L232)^2*4950*COS(2*R232-2*Q232-P232)  +4130*COS(2*R232+P232-2*S232) -(1-0.002516*L232)*3958*COS(4*R232-Q232-P232) +3258*COS(3*R232-P232) +(1 - 0.002516*L232)*2616*COS(2*R232+Q232+P232) -(1 - 0.002516*L232)*1897*COS(4*R232-Q232-2*P232)  -(1-0.002516*L232)^2*2117*COS(2*Q232-P232) +(1-0.002516*L232)^2*2354*COS(2*R232+2*Q232-P232) -1423*COS(4*R232+P232) -1117*COS(4*P232) -(1-0.002516*L232)*1571*COS(4*R232-Q232)  -1739*COS(R232-2*P232) -4421*COS(2*P232-2*S232) +(1-0.002516*L232)^2*1165*COS(2*Q232+P232) +8752*COS(2*R232-P232-2*S232))/1000</f>
        <v>396717.156382318</v>
      </c>
      <c r="AV232" s="54" t="n">
        <f aca="false">ATAN(0.99664719*TAN($A$10*input!$E$2))</f>
        <v>0.871010436227447</v>
      </c>
      <c r="AW232" s="54" t="n">
        <f aca="false">COS(AV232)</f>
        <v>0.644053912545845</v>
      </c>
      <c r="AX232" s="54" t="n">
        <f aca="false">0.99664719*SIN(AV232)</f>
        <v>0.762415269897027</v>
      </c>
      <c r="AY232" s="54" t="n">
        <f aca="false">6378.14/AU232</f>
        <v>0.0160772981389627</v>
      </c>
      <c r="AZ232" s="55" t="n">
        <f aca="false">M232-15*AH232</f>
        <v>291.028359454815</v>
      </c>
      <c r="BA232" s="56" t="n">
        <f aca="false">COS($A$10*AG232)*SIN($A$10*AZ232)</f>
        <v>-0.880966023780353</v>
      </c>
      <c r="BB232" s="56" t="n">
        <f aca="false">COS($A$10*AG232)*COS($A$10*AZ232)-AW232*AY232</f>
        <v>0.328316921454778</v>
      </c>
      <c r="BC232" s="56" t="n">
        <f aca="false">SIN($A$10*AG232)-AX232*AY232</f>
        <v>0.318197311637866</v>
      </c>
      <c r="BD232" s="57" t="n">
        <f aca="false">SQRT(BA232^2+BB232^2+BC232^2)</f>
        <v>0.992543533101935</v>
      </c>
      <c r="BE232" s="58" t="n">
        <f aca="false">AU232*BD232</f>
        <v>393759.048037859</v>
      </c>
    </row>
    <row r="233" customFormat="false" ht="15" hidden="false" customHeight="false" outlineLevel="0" collapsed="false">
      <c r="D233" s="41" t="n">
        <f aca="false">K233-INT(275*E233/9)+IF($A$8="common year",2,1)*INT((E233+9)/12)+30</f>
        <v>20</v>
      </c>
      <c r="E233" s="41" t="n">
        <f aca="false">IF(K233&lt;32,1,INT(9*(IF($A$8="common year",2,1)+K233)/275+0.98))</f>
        <v>8</v>
      </c>
      <c r="F233" s="42" t="n">
        <f aca="false">AM233</f>
        <v>22.5240977857622</v>
      </c>
      <c r="G233" s="60" t="n">
        <f aca="false">F233+1.02/(TAN($A$10*(F233+10.3/(F233+5.11)))*60)</f>
        <v>22.5643486430829</v>
      </c>
      <c r="H233" s="43" t="n">
        <f aca="false">100*(1+COS($A$10*AQ233))/2</f>
        <v>42.3515937008057</v>
      </c>
      <c r="I233" s="43" t="n">
        <f aca="false">IF(AI233&gt;180,AT233-180,AT233+180)</f>
        <v>81.6823244191969</v>
      </c>
      <c r="J233" s="61" t="n">
        <f aca="false">$J$2+K232</f>
        <v>2459811.5</v>
      </c>
      <c r="K233" s="21" t="n">
        <v>232</v>
      </c>
      <c r="L233" s="62" t="n">
        <f aca="false">(J233-2451545)/36525</f>
        <v>0.226324435318275</v>
      </c>
      <c r="M233" s="63" t="n">
        <f aca="false">MOD(280.46061837+360.98564736629*(J233-2451545)+0.000387933*L233^2-L233^3/38710000+$B$7,360)</f>
        <v>343.314591676928</v>
      </c>
      <c r="N233" s="30" t="n">
        <f aca="false">0.606433+1336.855225*L233 - INT(0.606433+1336.855225*L233)</f>
        <v>0.169436900410631</v>
      </c>
      <c r="O233" s="35" t="n">
        <f aca="false">22640*SIN(P233)-4586*SIN(P233-2*R233)+2370*SIN(2*R233)+769*SIN(2*P233)-668*SIN(Q233)-412*SIN(2*S233)-212*SIN(2*P233-2*R233)-206*SIN(P233+Q233-2*R233)+192*SIN(P233+2*R233)-165*SIN(Q233-2*R233)-125*SIN(R233)-110*SIN(P233+Q233)+148*SIN(P233-Q233)-55*SIN(2*S233-2*R233)</f>
        <v>17800.6314554588</v>
      </c>
      <c r="P233" s="32" t="n">
        <f aca="false">2*PI()*(0.374897+1325.55241*L233 - INT(0.374897+1325.55241*L233))</f>
        <v>2.38633919029082</v>
      </c>
      <c r="Q233" s="36" t="n">
        <f aca="false">2*PI()*(0.993133+99.997361*L233 - INT(0.993133+99.997361*L233))</f>
        <v>3.92686051404543</v>
      </c>
      <c r="R233" s="36" t="n">
        <f aca="false">2*PI()*(0.827361+1236.853086*L233 - INT(0.827361+1236.853086*L233))</f>
        <v>4.75911866701299</v>
      </c>
      <c r="S233" s="36" t="n">
        <f aca="false">2*PI()*(0.259086+1342.227825*L233 - INT(0.259086+1342.227825*L233))</f>
        <v>0.239015897732242</v>
      </c>
      <c r="T233" s="36" t="n">
        <f aca="false">S233+(O233+412*SIN(2*S233)+541*SIN(Q233))/206264.8062</f>
        <v>0.324380290471073</v>
      </c>
      <c r="U233" s="36" t="n">
        <f aca="false">S233-2*R233</f>
        <v>-9.27922143629374</v>
      </c>
      <c r="V233" s="34" t="n">
        <f aca="false">-526*SIN(U233)+44*SIN(P233+U233)-31*SIN(-P233+U233)-23*SIN(Q233+U233)+11*SIN(-Q233+U233)-25*SIN(-2*P233+S233)+21*SIN(-P233+S233)</f>
        <v>-40.4238475848148</v>
      </c>
      <c r="W233" s="36" t="n">
        <f aca="false">2*PI()*(N233+O233/1296000-INT(N233+O233/1296000))</f>
        <v>1.15090333977408</v>
      </c>
      <c r="X233" s="35" t="n">
        <f aca="false">W233*180/PI()</f>
        <v>65.9419039965656</v>
      </c>
      <c r="Y233" s="36" t="n">
        <f aca="false">(18520*SIN(T233)+V233)/206264.8062</f>
        <v>0.0284212204343719</v>
      </c>
      <c r="Z233" s="36" t="n">
        <f aca="false">Y233*180/PI()</f>
        <v>1.62841597950048</v>
      </c>
      <c r="AA233" s="36" t="n">
        <f aca="false">COS(Y233)*COS(W233)</f>
        <v>0.407498101436918</v>
      </c>
      <c r="AB233" s="36" t="n">
        <f aca="false">COS(Y233)*SIN(W233)</f>
        <v>0.912763796951919</v>
      </c>
      <c r="AC233" s="36" t="n">
        <f aca="false">SIN(Y233)</f>
        <v>0.0284173943073998</v>
      </c>
      <c r="AD233" s="36" t="n">
        <f aca="false">COS($A$10*(23.4393-46.815*L233/3600))*AB233-SIN($A$10*(23.4393-46.815*L233/3600))*AC233</f>
        <v>0.82616054861394</v>
      </c>
      <c r="AE233" s="36" t="n">
        <f aca="false">SIN($A$10*(23.4393-46.815*L233/3600))*AB233+COS($A$10*(23.4393-46.815*L233/3600))*AC233</f>
        <v>0.389106727311699</v>
      </c>
      <c r="AF233" s="36" t="n">
        <f aca="false">SQRT(1-AE233*AE233)</f>
        <v>0.92119268058359</v>
      </c>
      <c r="AG233" s="35" t="n">
        <f aca="false">ATAN(AE233/AF233)/$A$10</f>
        <v>22.8989287808055</v>
      </c>
      <c r="AH233" s="36" t="n">
        <f aca="false">IF(24*ATAN(AD233/(AA233+AF233))/PI()&gt;0,24*ATAN(AD233/(AA233+AF233))/PI(),24*ATAN(AD233/(AA233+AF233))/PI()+24)</f>
        <v>4.24969949353018</v>
      </c>
      <c r="AI233" s="63" t="n">
        <f aca="false">IF(M233-15*AH233&gt;0,M233-15*AH233,360+M233-15*AH233)</f>
        <v>279.569099273975</v>
      </c>
      <c r="AJ233" s="32" t="n">
        <f aca="false">0.950724+0.051818*COS(P233)+0.009531*COS(2*R233-P233)+0.007843*COS(2*R233)+0.002824*COS(2*P233)+0.000857*COS(2*R233+P233)+0.000533*COS(2*R233-Q233)*(1-0.002495*(J233-2415020)/36525)+0.000401*COS(2*R233-Q233-P233)*(1-0.002495*(J233-2415020)/36525)+0.00032*COS(P233-Q233)*(1-0.002495*(J233-2415020)/36525)-0.000271*COS(R233)</f>
        <v>0.912339632505806</v>
      </c>
      <c r="AK233" s="36" t="n">
        <f aca="false">ASIN(COS($A$10*$B$5)*COS($A$10*AG233)*COS($A$10*AI233)+SIN($A$10*$B$5)*SIN($A$10*AG233))/$A$10</f>
        <v>23.3600037969407</v>
      </c>
      <c r="AL233" s="32" t="n">
        <f aca="false">ASIN((0.9983271+0.0016764*COS($A$10*2*$B$5))*COS($A$10*AK233)*SIN($A$10*AJ233))/$A$10</f>
        <v>0.835906011178518</v>
      </c>
      <c r="AM233" s="32" t="n">
        <f aca="false">AK233-AL233</f>
        <v>22.5240977857622</v>
      </c>
      <c r="AN233" s="35" t="n">
        <f aca="false"> MOD(280.4664567 + 360007.6982779*L233/10 + 0.03032028*L233^2/100 + L233^3/49931000,360)</f>
        <v>148.320374528883</v>
      </c>
      <c r="AO233" s="32" t="n">
        <f aca="false"> AN233 + (1.9146 - 0.004817*L233 - 0.000014*L233^2)*SIN(Q233)+ (0.019993 - 0.000101*L233)*SIN(2*Q233)+ 0.00029*SIN(3*Q233)</f>
        <v>146.987260601921</v>
      </c>
      <c r="AP233" s="32" t="n">
        <f aca="false">ACOS(COS(W233-$A$10*AO233)*COS(Y233))/$A$10</f>
        <v>81.0490027059314</v>
      </c>
      <c r="AQ233" s="34" t="n">
        <f aca="false">180 - AP233 -0.1468*(1-0.0549*SIN(Q233))*SIN($A$10*AP233)/(1-0.0167*SIN($A$10*AO233))</f>
        <v>98.7989731887243</v>
      </c>
      <c r="AR233" s="64" t="n">
        <f aca="false">SIN($A$10*AI233)</f>
        <v>-0.986085835292219</v>
      </c>
      <c r="AS233" s="64" t="n">
        <f aca="false">COS($A$10*AI233)*SIN($A$10*$B$5) - TAN($A$10*AG233)*COS($A$10*$B$5)</f>
        <v>-0.144165058757402</v>
      </c>
      <c r="AT233" s="24" t="n">
        <f aca="false">IF(OR(AND(AR233*AS233&gt;0), AND(AR233&lt;0,AS233&gt;0)), MOD(ATAN2(AS233,AR233)/$A$10+360,360),  ATAN2(AS233,AR233)/$A$10)</f>
        <v>261.682324419197</v>
      </c>
      <c r="AU233" s="39" t="n">
        <f aca="false"> 385000.56 + (-20905355*COS(P233) - 3699111*COS(2*R233-P233) - 2955968*COS(2*R233) - 569925*COS(2*P233) + (1-0.002516*L233)*48888*COS(Q233) - 3149*COS(2*S233)  +246158*COS(2*R233-2*P233) -(1 - 0.002516*L233)*152138*COS(2*R233-Q233-P233) -170733*COS(2*R233+P233) -(1 - 0.002516*L233)*204586*COS(2*R233-Q233) -(1 - 0.002516*L233)*129620*COS(Q233-P233)  + 108743*COS(R233) +(1-0.002516*L233)*104755*COS(Q233+P233) +10321*COS(2*R233-2*S233) +79661*COS(P233-2*S233) -34782*COS(4*R233-P233) -23210*COS(3*P233)  -21636*COS(4*R233-2*P233) +(1 - 0.002516*L233)*24208*COS(2*R233+Q233-P233) +(1 - 0.002516*L233)*30824*COS(2*R233+Q233) -8379*COS(R233-P233) -(1 - 0.002516*L233)*16675*COS(R233+Q233)  -(1 - 0.002516*L233)*12831*COS(2*R233-Q233+P233) -10445*COS(2*R233+2*P233) -11650*COS(4*R233) +14403*COS(2*R233-3*P233) -(1-0.002516*L233)*7003*COS(Q233-2*P233)  + (1 - 0.002516*L233)*10056*COS(2*R233-Q233-2*P233) +6322*COS(R233+P233) -(1 - 0.002516*L233)*(1-0.002516*L233)*9884*COS(2*R233-2*Q233) +(1-0.002516*L233)*5751*COS(Q233+2*P233) - (1-0.002516*L233)^2*4950*COS(2*R233-2*Q233-P233)  +4130*COS(2*R233+P233-2*S233) -(1-0.002516*L233)*3958*COS(4*R233-Q233-P233) +3258*COS(3*R233-P233) +(1 - 0.002516*L233)*2616*COS(2*R233+Q233+P233) -(1 - 0.002516*L233)*1897*COS(4*R233-Q233-2*P233)  -(1-0.002516*L233)^2*2117*COS(2*Q233-P233) +(1-0.002516*L233)^2*2354*COS(2*R233+2*Q233-P233) -1423*COS(4*R233+P233) -1117*COS(4*P233) -(1-0.002516*L233)*1571*COS(4*R233-Q233)  -1739*COS(R233-2*P233) -4421*COS(2*P233-2*S233) +(1-0.002516*L233)^2*1165*COS(2*Q233+P233) +8752*COS(2*R233-P233-2*S233))/1000</f>
        <v>400621.130014084</v>
      </c>
      <c r="AV233" s="54" t="n">
        <f aca="false">ATAN(0.99664719*TAN($A$10*input!$E$2))</f>
        <v>0.871010436227447</v>
      </c>
      <c r="AW233" s="54" t="n">
        <f aca="false">COS(AV233)</f>
        <v>0.644053912545845</v>
      </c>
      <c r="AX233" s="54" t="n">
        <f aca="false">0.99664719*SIN(AV233)</f>
        <v>0.762415269897027</v>
      </c>
      <c r="AY233" s="54" t="n">
        <f aca="false">6378.14/AU233</f>
        <v>0.0159206280501874</v>
      </c>
      <c r="AZ233" s="55" t="n">
        <f aca="false">M233-15*AH233</f>
        <v>279.569099273975</v>
      </c>
      <c r="BA233" s="56" t="n">
        <f aca="false">COS($A$10*AG233)*SIN($A$10*AZ233)</f>
        <v>-0.908375053898347</v>
      </c>
      <c r="BB233" s="56" t="n">
        <f aca="false">COS($A$10*AG233)*COS($A$10*AZ233)-AW233*AY233</f>
        <v>0.142882524035357</v>
      </c>
      <c r="BC233" s="56" t="n">
        <f aca="false">SIN($A$10*AG233)-AX233*AY233</f>
        <v>0.376968597379885</v>
      </c>
      <c r="BD233" s="57" t="n">
        <f aca="false">SQRT(BA233^2+BB233^2+BC233^2)</f>
        <v>0.993813854617703</v>
      </c>
      <c r="BE233" s="58" t="n">
        <f aca="false">AU233*BD233</f>
        <v>398142.829460597</v>
      </c>
    </row>
    <row r="234" customFormat="false" ht="15" hidden="false" customHeight="false" outlineLevel="0" collapsed="false">
      <c r="D234" s="41" t="n">
        <f aca="false">K234-INT(275*E234/9)+IF($A$8="common year",2,1)*INT((E234+9)/12)+30</f>
        <v>21</v>
      </c>
      <c r="E234" s="41" t="n">
        <f aca="false">IF(K234&lt;32,1,INT(9*(IF($A$8="common year",2,1)+K234)/275+0.98))</f>
        <v>8</v>
      </c>
      <c r="F234" s="42" t="n">
        <f aca="false">AM234</f>
        <v>16.9786072576214</v>
      </c>
      <c r="G234" s="60" t="n">
        <f aca="false">F234+1.02/(TAN($A$10*(F234+10.3/(F234+5.11)))*60)</f>
        <v>17.0327056844408</v>
      </c>
      <c r="H234" s="43" t="n">
        <f aca="false">100*(1+COS($A$10*AQ234))/2</f>
        <v>33.0966911786798</v>
      </c>
      <c r="I234" s="43" t="n">
        <f aca="false">IF(AI234&gt;180,AT234-180,AT234+180)</f>
        <v>71.403183872686</v>
      </c>
      <c r="J234" s="61" t="n">
        <f aca="false">$J$2+K233</f>
        <v>2459812.5</v>
      </c>
      <c r="K234" s="21" t="n">
        <v>233</v>
      </c>
      <c r="L234" s="62" t="n">
        <f aca="false">(J234-2451545)/36525</f>
        <v>0.226351813826146</v>
      </c>
      <c r="M234" s="63" t="n">
        <f aca="false">MOD(280.46061837+360.98564736629*(J234-2451545)+0.000387933*L234^2-L234^3/38710000+$B$7,360)</f>
        <v>344.300239047967</v>
      </c>
      <c r="N234" s="30" t="n">
        <f aca="false">0.606433+1336.855225*L234 - INT(0.606433+1336.855225*L234)</f>
        <v>0.206038001711136</v>
      </c>
      <c r="O234" s="35" t="n">
        <f aca="false">22640*SIN(P234)-4586*SIN(P234-2*R234)+2370*SIN(2*R234)+769*SIN(2*P234)-668*SIN(Q234)-412*SIN(2*S234)-212*SIN(2*P234-2*R234)-206*SIN(P234+Q234-2*R234)+192*SIN(P234+2*R234)-165*SIN(Q234-2*R234)-125*SIN(R234)-110*SIN(P234+Q234)+148*SIN(P234-Q234)-55*SIN(2*S234-2*R234)</f>
        <v>13324.0116358463</v>
      </c>
      <c r="P234" s="32" t="n">
        <f aca="false">2*PI()*(0.374897+1325.55241*L234 - INT(0.374897+1325.55241*L234))</f>
        <v>2.61436633406663</v>
      </c>
      <c r="Q234" s="36" t="n">
        <f aca="false">2*PI()*(0.993133+99.997361*L234 - INT(0.993133+99.997361*L234))</f>
        <v>3.94406248391241</v>
      </c>
      <c r="R234" s="36" t="n">
        <f aca="false">2*PI()*(0.827361+1236.853086*L234 - INT(0.827361+1236.853086*L234))</f>
        <v>4.97188737713202</v>
      </c>
      <c r="S234" s="36" t="n">
        <f aca="false">2*PI()*(0.259086+1342.227825*L234 - INT(0.259086+1342.227825*L234))</f>
        <v>0.469911617073246</v>
      </c>
      <c r="T234" s="36" t="n">
        <f aca="false">S234+(O234+412*SIN(2*S234)+541*SIN(Q234))/206264.8062</f>
        <v>0.53423506359218</v>
      </c>
      <c r="U234" s="36" t="n">
        <f aca="false">S234-2*R234</f>
        <v>-9.47386313719079</v>
      </c>
      <c r="V234" s="34" t="n">
        <f aca="false">-526*SIN(U234)+44*SIN(P234+U234)-31*SIN(-P234+U234)-23*SIN(Q234+U234)+11*SIN(-Q234+U234)-25*SIN(-2*P234+S234)+21*SIN(-P234+S234)</f>
        <v>-130.670914707031</v>
      </c>
      <c r="W234" s="36" t="n">
        <f aca="false">2*PI()*(N234+O234/1296000-INT(N234+O234/1296000))</f>
        <v>1.35917157635526</v>
      </c>
      <c r="X234" s="35" t="n">
        <f aca="false">W234*180/PI()</f>
        <v>77.8747949592995</v>
      </c>
      <c r="Y234" s="36" t="n">
        <f aca="false">(18520*SIN(T234)+V234)/206264.8062</f>
        <v>0.0450847405567443</v>
      </c>
      <c r="Z234" s="36" t="n">
        <f aca="false">Y234*180/PI()</f>
        <v>2.58316535434374</v>
      </c>
      <c r="AA234" s="36" t="n">
        <f aca="false">COS(Y234)*COS(W234)</f>
        <v>0.209835240288724</v>
      </c>
      <c r="AB234" s="36" t="n">
        <f aca="false">COS(Y234)*SIN(W234)</f>
        <v>0.976697453118831</v>
      </c>
      <c r="AC234" s="36" t="n">
        <f aca="false">SIN(Y234)</f>
        <v>0.0450694686474501</v>
      </c>
      <c r="AD234" s="36" t="n">
        <f aca="false">COS($A$10*(23.4393-46.815*L234/3600))*AB234-SIN($A$10*(23.4393-46.815*L234/3600))*AC234</f>
        <v>0.878196803975571</v>
      </c>
      <c r="AE234" s="36" t="n">
        <f aca="false">SIN($A$10*(23.4393-46.815*L234/3600))*AB234+COS($A$10*(23.4393-46.815*L234/3600))*AC234</f>
        <v>0.429813384412429</v>
      </c>
      <c r="AF234" s="36" t="n">
        <f aca="false">SQRT(1-AE234*AE234)</f>
        <v>0.902917745190521</v>
      </c>
      <c r="AG234" s="35" t="n">
        <f aca="false">ATAN(AE234/AF234)/$A$10</f>
        <v>25.4557176333098</v>
      </c>
      <c r="AH234" s="36" t="n">
        <f aca="false">IF(24*ATAN(AD234/(AA234+AF234))/PI()&gt;0,24*ATAN(AD234/(AA234+AF234))/PI(),24*ATAN(AD234/(AA234+AF234))/PI()+24)</f>
        <v>5.10411829719095</v>
      </c>
      <c r="AI234" s="63" t="n">
        <f aca="false">IF(M234-15*AH234&gt;0,M234-15*AH234,360+M234-15*AH234)</f>
        <v>267.738464590103</v>
      </c>
      <c r="AJ234" s="32" t="n">
        <f aca="false">0.950724+0.051818*COS(P234)+0.009531*COS(2*R234-P234)+0.007843*COS(2*R234)+0.002824*COS(2*P234)+0.000857*COS(2*R234+P234)+0.000533*COS(2*R234-Q234)*(1-0.002495*(J234-2415020)/36525)+0.000401*COS(2*R234-Q234-P234)*(1-0.002495*(J234-2415020)/36525)+0.00032*COS(P234-Q234)*(1-0.002495*(J234-2415020)/36525)-0.000271*COS(R234)</f>
        <v>0.906285938465688</v>
      </c>
      <c r="AK234" s="36" t="n">
        <f aca="false">ASIN(COS($A$10*$B$5)*COS($A$10*AG234)*COS($A$10*AI234)+SIN($A$10*$B$5)*SIN($A$10*AG234))/$A$10</f>
        <v>17.8396190950492</v>
      </c>
      <c r="AL234" s="32" t="n">
        <f aca="false">ASIN((0.9983271+0.0016764*COS($A$10*2*$B$5))*COS($A$10*AK234)*SIN($A$10*AJ234))/$A$10</f>
        <v>0.861011837427786</v>
      </c>
      <c r="AM234" s="32" t="n">
        <f aca="false">AK234-AL234</f>
        <v>16.9786072576214</v>
      </c>
      <c r="AN234" s="35" t="n">
        <f aca="false"> MOD(280.4664567 + 360007.6982779*L234/10 + 0.03032028*L234^2/100 + L234^3/49931000,360)</f>
        <v>149.306021892744</v>
      </c>
      <c r="AO234" s="32" t="n">
        <f aca="false"> AN234 + (1.9146 - 0.004817*L234 - 0.000014*L234^2)*SIN(Q234)+ (0.019993 - 0.000101*L234)*SIN(2*Q234)+ 0.00029*SIN(3*Q234)</f>
        <v>147.949830324735</v>
      </c>
      <c r="AP234" s="32" t="n">
        <f aca="false">ACOS(COS(W234-$A$10*AO234)*COS(Y234))/$A$10</f>
        <v>70.0961382915416</v>
      </c>
      <c r="AQ234" s="34" t="n">
        <f aca="false">180 - AP234 -0.1468*(1-0.0549*SIN(Q234))*SIN($A$10*AP234)/(1-0.0167*SIN($A$10*AO234))</f>
        <v>109.75909880924</v>
      </c>
      <c r="AR234" s="64" t="n">
        <f aca="false">SIN($A$10*AI234)</f>
        <v>-0.999221111775955</v>
      </c>
      <c r="AS234" s="64" t="n">
        <f aca="false">COS($A$10*AI234)*SIN($A$10*$B$5) - TAN($A$10*AG234)*COS($A$10*$B$5)</f>
        <v>-0.336213243202743</v>
      </c>
      <c r="AT234" s="24" t="n">
        <f aca="false">IF(OR(AND(AR234*AS234&gt;0), AND(AR234&lt;0,AS234&gt;0)), MOD(ATAN2(AS234,AR234)/$A$10+360,360),  ATAN2(AS234,AR234)/$A$10)</f>
        <v>251.403183872686</v>
      </c>
      <c r="AU234" s="39" t="n">
        <f aca="false"> 385000.56 + (-20905355*COS(P234) - 3699111*COS(2*R234-P234) - 2955968*COS(2*R234) - 569925*COS(2*P234) + (1-0.002516*L234)*48888*COS(Q234) - 3149*COS(2*S234)  +246158*COS(2*R234-2*P234) -(1 - 0.002516*L234)*152138*COS(2*R234-Q234-P234) -170733*COS(2*R234+P234) -(1 - 0.002516*L234)*204586*COS(2*R234-Q234) -(1 - 0.002516*L234)*129620*COS(Q234-P234)  + 108743*COS(R234) +(1-0.002516*L234)*104755*COS(Q234+P234) +10321*COS(2*R234-2*S234) +79661*COS(P234-2*S234) -34782*COS(4*R234-P234) -23210*COS(3*P234)  -21636*COS(4*R234-2*P234) +(1 - 0.002516*L234)*24208*COS(2*R234+Q234-P234) +(1 - 0.002516*L234)*30824*COS(2*R234+Q234) -8379*COS(R234-P234) -(1 - 0.002516*L234)*16675*COS(R234+Q234)  -(1 - 0.002516*L234)*12831*COS(2*R234-Q234+P234) -10445*COS(2*R234+2*P234) -11650*COS(4*R234) +14403*COS(2*R234-3*P234) -(1-0.002516*L234)*7003*COS(Q234-2*P234)  + (1 - 0.002516*L234)*10056*COS(2*R234-Q234-2*P234) +6322*COS(R234+P234) -(1 - 0.002516*L234)*(1-0.002516*L234)*9884*COS(2*R234-2*Q234) +(1-0.002516*L234)*5751*COS(Q234+2*P234) - (1-0.002516*L234)^2*4950*COS(2*R234-2*Q234-P234)  +4130*COS(2*R234+P234-2*S234) -(1-0.002516*L234)*3958*COS(4*R234-Q234-P234) +3258*COS(3*R234-P234) +(1 - 0.002516*L234)*2616*COS(2*R234+Q234+P234) -(1 - 0.002516*L234)*1897*COS(4*R234-Q234-2*P234)  -(1-0.002516*L234)^2*2117*COS(2*Q234-P234) +(1-0.002516*L234)^2*2354*COS(2*R234+2*Q234-P234) -1423*COS(4*R234+P234) -1117*COS(4*P234) -(1-0.002516*L234)*1571*COS(4*R234-Q234)  -1739*COS(R234-2*P234) -4421*COS(2*P234-2*S234) +(1-0.002516*L234)^2*1165*COS(2*Q234+P234) +8752*COS(2*R234-P234-2*S234))/1000</f>
        <v>403386.807627826</v>
      </c>
      <c r="AV234" s="54" t="n">
        <f aca="false">ATAN(0.99664719*TAN($A$10*input!$E$2))</f>
        <v>0.871010436227447</v>
      </c>
      <c r="AW234" s="54" t="n">
        <f aca="false">COS(AV234)</f>
        <v>0.644053912545845</v>
      </c>
      <c r="AX234" s="54" t="n">
        <f aca="false">0.99664719*SIN(AV234)</f>
        <v>0.762415269897027</v>
      </c>
      <c r="AY234" s="54" t="n">
        <f aca="false">6378.14/AU234</f>
        <v>0.0158114739485596</v>
      </c>
      <c r="AZ234" s="55" t="n">
        <f aca="false">M234-15*AH234</f>
        <v>267.738464590103</v>
      </c>
      <c r="BA234" s="56" t="n">
        <f aca="false">COS($A$10*AG234)*SIN($A$10*AZ234)</f>
        <v>-0.902214473191511</v>
      </c>
      <c r="BB234" s="56" t="n">
        <f aca="false">COS($A$10*AG234)*COS($A$10*AZ234)-AW234*AY234</f>
        <v>-0.0458134703391413</v>
      </c>
      <c r="BC234" s="56" t="n">
        <f aca="false">SIN($A$10*AG234)-AX234*AY234</f>
        <v>0.417758475234468</v>
      </c>
      <c r="BD234" s="57" t="n">
        <f aca="false">SQRT(BA234^2+BB234^2+BC234^2)</f>
        <v>0.995294917766075</v>
      </c>
      <c r="BE234" s="58" t="n">
        <f aca="false">AU234*BD234</f>
        <v>401488.839525856</v>
      </c>
    </row>
    <row r="235" customFormat="false" ht="15" hidden="false" customHeight="false" outlineLevel="0" collapsed="false">
      <c r="D235" s="41" t="n">
        <f aca="false">K235-INT(275*E235/9)+IF($A$8="common year",2,1)*INT((E235+9)/12)+30</f>
        <v>22</v>
      </c>
      <c r="E235" s="41" t="n">
        <f aca="false">IF(K235&lt;32,1,INT(9*(IF($A$8="common year",2,1)+K235)/275+0.98))</f>
        <v>8</v>
      </c>
      <c r="F235" s="42" t="n">
        <f aca="false">AM235</f>
        <v>10.8539109458643</v>
      </c>
      <c r="G235" s="60" t="n">
        <f aca="false">F235+1.02/(TAN($A$10*(F235+10.3/(F235+5.11)))*60)</f>
        <v>10.9374752128795</v>
      </c>
      <c r="H235" s="43" t="n">
        <f aca="false">100*(1+COS($A$10*AQ235))/2</f>
        <v>24.537281636309</v>
      </c>
      <c r="I235" s="43" t="n">
        <f aca="false">IF(AI235&gt;180,AT235-180,AT235+180)</f>
        <v>61.9554730043669</v>
      </c>
      <c r="J235" s="61" t="n">
        <f aca="false">$J$2+K234</f>
        <v>2459813.5</v>
      </c>
      <c r="K235" s="21" t="n">
        <v>234</v>
      </c>
      <c r="L235" s="62" t="n">
        <f aca="false">(J235-2451545)/36525</f>
        <v>0.226379192334018</v>
      </c>
      <c r="M235" s="63" t="n">
        <f aca="false">MOD(280.46061837+360.98564736629*(J235-2451545)+0.000387933*L235^2-L235^3/38710000+$B$7,360)</f>
        <v>345.285886419006</v>
      </c>
      <c r="N235" s="30" t="n">
        <f aca="false">0.606433+1336.855225*L235 - INT(0.606433+1336.855225*L235)</f>
        <v>0.242639103011641</v>
      </c>
      <c r="O235" s="35" t="n">
        <f aca="false">22640*SIN(P235)-4586*SIN(P235-2*R235)+2370*SIN(2*R235)+769*SIN(2*P235)-668*SIN(Q235)-412*SIN(2*S235)-212*SIN(2*P235-2*R235)-206*SIN(P235+Q235-2*R235)+192*SIN(P235+2*R235)-165*SIN(Q235-2*R235)-125*SIN(R235)-110*SIN(P235+Q235)+148*SIN(P235-Q235)-55*SIN(2*S235-2*R235)</f>
        <v>8531.96201254055</v>
      </c>
      <c r="P235" s="32" t="n">
        <f aca="false">2*PI()*(0.374897+1325.55241*L235 - INT(0.374897+1325.55241*L235))</f>
        <v>2.84239347784245</v>
      </c>
      <c r="Q235" s="36" t="n">
        <f aca="false">2*PI()*(0.993133+99.997361*L235 - INT(0.993133+99.997361*L235))</f>
        <v>3.96126445377942</v>
      </c>
      <c r="R235" s="36" t="n">
        <f aca="false">2*PI()*(0.827361+1236.853086*L235 - INT(0.827361+1236.853086*L235))</f>
        <v>5.18465608725104</v>
      </c>
      <c r="S235" s="36" t="n">
        <f aca="false">2*PI()*(0.259086+1342.227825*L235 - INT(0.259086+1342.227825*L235))</f>
        <v>0.700807336414251</v>
      </c>
      <c r="T235" s="36" t="n">
        <f aca="false">S235+(O235+412*SIN(2*S235)+541*SIN(Q235))/206264.8062</f>
        <v>0.742223277694522</v>
      </c>
      <c r="U235" s="36" t="n">
        <f aca="false">S235-2*R235</f>
        <v>-9.66850483808783</v>
      </c>
      <c r="V235" s="34" t="n">
        <f aca="false">-526*SIN(U235)+44*SIN(P235+U235)-31*SIN(-P235+U235)-23*SIN(Q235+U235)+11*SIN(-Q235+U235)-25*SIN(-2*P235+S235)+21*SIN(-P235+S235)</f>
        <v>-215.281096106467</v>
      </c>
      <c r="W235" s="36" t="n">
        <f aca="false">2*PI()*(N235+O235/1296000-INT(N235+O235/1296000))</f>
        <v>1.56591056609384</v>
      </c>
      <c r="X235" s="35" t="n">
        <f aca="false">W235*180/PI()</f>
        <v>89.7200665321186</v>
      </c>
      <c r="Y235" s="36" t="n">
        <f aca="false">(18520*SIN(T235)+V235)/206264.8062</f>
        <v>0.0596461746643074</v>
      </c>
      <c r="Z235" s="36" t="n">
        <f aca="false">Y235*180/PI()</f>
        <v>3.41747407236495</v>
      </c>
      <c r="AA235" s="36" t="n">
        <f aca="false">COS(Y235)*COS(W235)</f>
        <v>0.00487705292150982</v>
      </c>
      <c r="AB235" s="36" t="n">
        <f aca="false">COS(Y235)*SIN(W235)</f>
        <v>0.998209780155489</v>
      </c>
      <c r="AC235" s="36" t="n">
        <f aca="false">SIN(Y235)</f>
        <v>0.0596108140921649</v>
      </c>
      <c r="AD235" s="36" t="n">
        <f aca="false">COS($A$10*(23.4393-46.815*L235/3600))*AB235-SIN($A$10*(23.4393-46.815*L235/3600))*AC235</f>
        <v>0.892150887518579</v>
      </c>
      <c r="AE235" s="36" t="n">
        <f aca="false">SIN($A$10*(23.4393-46.815*L235/3600))*AB235+COS($A$10*(23.4393-46.815*L235/3600))*AC235</f>
        <v>0.451711200054428</v>
      </c>
      <c r="AF235" s="36" t="n">
        <f aca="false">SQRT(1-AE235*AE235)</f>
        <v>0.89216421792481</v>
      </c>
      <c r="AG235" s="35" t="n">
        <f aca="false">ATAN(AE235/AF235)/$A$10</f>
        <v>26.8535258817409</v>
      </c>
      <c r="AH235" s="36" t="n">
        <f aca="false">IF(24*ATAN(AD235/(AA235+AF235))/PI()&gt;0,24*ATAN(AD235/(AA235+AF235))/PI(),24*ATAN(AD235/(AA235+AF235))/PI()+24)</f>
        <v>5.97911924471629</v>
      </c>
      <c r="AI235" s="63" t="n">
        <f aca="false">IF(M235-15*AH235&gt;0,M235-15*AH235,360+M235-15*AH235)</f>
        <v>255.599097748261</v>
      </c>
      <c r="AJ235" s="32" t="n">
        <f aca="false">0.950724+0.051818*COS(P235)+0.009531*COS(2*R235-P235)+0.007843*COS(2*R235)+0.002824*COS(2*P235)+0.000857*COS(2*R235+P235)+0.000533*COS(2*R235-Q235)*(1-0.002495*(J235-2415020)/36525)+0.000401*COS(2*R235-Q235-P235)*(1-0.002495*(J235-2415020)/36525)+0.00032*COS(P235-Q235)*(1-0.002495*(J235-2415020)/36525)-0.000271*COS(R235)</f>
        <v>0.902870002677972</v>
      </c>
      <c r="AK235" s="36" t="n">
        <f aca="false">ASIN(COS($A$10*$B$5)*COS($A$10*AG235)*COS($A$10*AI235)+SIN($A$10*$B$5)*SIN($A$10*AG235))/$A$10</f>
        <v>11.7361682764057</v>
      </c>
      <c r="AL235" s="32" t="n">
        <f aca="false">ASIN((0.9983271+0.0016764*COS($A$10*2*$B$5))*COS($A$10*AK235)*SIN($A$10*AJ235))/$A$10</f>
        <v>0.882257330541477</v>
      </c>
      <c r="AM235" s="32" t="n">
        <f aca="false">AK235-AL235</f>
        <v>10.8539109458643</v>
      </c>
      <c r="AN235" s="35" t="n">
        <f aca="false"> MOD(280.4664567 + 360007.6982779*L235/10 + 0.03032028*L235^2/100 + L235^3/49931000,360)</f>
        <v>150.291669256607</v>
      </c>
      <c r="AO235" s="32" t="n">
        <f aca="false"> AN235 + (1.9146 - 0.004817*L235 - 0.000014*L235^2)*SIN(Q235)+ (0.019993 - 0.000101*L235)*SIN(2*Q235)+ 0.00029*SIN(3*Q235)</f>
        <v>148.91278409283</v>
      </c>
      <c r="AP235" s="32" t="n">
        <f aca="false">ACOS(COS(W235-$A$10*AO235)*COS(Y235))/$A$10</f>
        <v>59.2534542113905</v>
      </c>
      <c r="AQ235" s="34" t="n">
        <f aca="false">180 - AP235 -0.1468*(1-0.0549*SIN(Q235))*SIN($A$10*AP235)/(1-0.0167*SIN($A$10*AO235))</f>
        <v>120.614176275836</v>
      </c>
      <c r="AR235" s="64" t="n">
        <f aca="false">SIN($A$10*AI235)</f>
        <v>-0.968579244823351</v>
      </c>
      <c r="AS235" s="64" t="n">
        <f aca="false">COS($A$10*AI235)*SIN($A$10*$B$5) - TAN($A$10*AG235)*COS($A$10*$B$5)</f>
        <v>-0.515968649765952</v>
      </c>
      <c r="AT235" s="24" t="n">
        <f aca="false">IF(OR(AND(AR235*AS235&gt;0), AND(AR235&lt;0,AS235&gt;0)), MOD(ATAN2(AS235,AR235)/$A$10+360,360),  ATAN2(AS235,AR235)/$A$10)</f>
        <v>241.955473004367</v>
      </c>
      <c r="AU235" s="39" t="n">
        <f aca="false"> 385000.56 + (-20905355*COS(P235) - 3699111*COS(2*R235-P235) - 2955968*COS(2*R235) - 569925*COS(2*P235) + (1-0.002516*L235)*48888*COS(Q235) - 3149*COS(2*S235)  +246158*COS(2*R235-2*P235) -(1 - 0.002516*L235)*152138*COS(2*R235-Q235-P235) -170733*COS(2*R235+P235) -(1 - 0.002516*L235)*204586*COS(2*R235-Q235) -(1 - 0.002516*L235)*129620*COS(Q235-P235)  + 108743*COS(R235) +(1-0.002516*L235)*104755*COS(Q235+P235) +10321*COS(2*R235-2*S235) +79661*COS(P235-2*S235) -34782*COS(4*R235-P235) -23210*COS(3*P235)  -21636*COS(4*R235-2*P235) +(1 - 0.002516*L235)*24208*COS(2*R235+Q235-P235) +(1 - 0.002516*L235)*30824*COS(2*R235+Q235) -8379*COS(R235-P235) -(1 - 0.002516*L235)*16675*COS(R235+Q235)  -(1 - 0.002516*L235)*12831*COS(2*R235-Q235+P235) -10445*COS(2*R235+2*P235) -11650*COS(4*R235) +14403*COS(2*R235-3*P235) -(1-0.002516*L235)*7003*COS(Q235-2*P235)  + (1 - 0.002516*L235)*10056*COS(2*R235-Q235-2*P235) +6322*COS(R235+P235) -(1 - 0.002516*L235)*(1-0.002516*L235)*9884*COS(2*R235-2*Q235) +(1-0.002516*L235)*5751*COS(Q235+2*P235) - (1-0.002516*L235)^2*4950*COS(2*R235-2*Q235-P235)  +4130*COS(2*R235+P235-2*S235) -(1-0.002516*L235)*3958*COS(4*R235-Q235-P235) +3258*COS(3*R235-P235) +(1 - 0.002516*L235)*2616*COS(2*R235+Q235+P235) -(1 - 0.002516*L235)*1897*COS(4*R235-Q235-2*P235)  -(1-0.002516*L235)^2*2117*COS(2*Q235-P235) +(1-0.002516*L235)^2*2354*COS(2*R235+2*Q235-P235) -1423*COS(4*R235+P235) -1117*COS(4*P235) -(1-0.002516*L235)*1571*COS(4*R235-Q235)  -1739*COS(R235-2*P235) -4421*COS(2*P235-2*S235) +(1-0.002516*L235)^2*1165*COS(2*Q235+P235) +8752*COS(2*R235-P235-2*S235))/1000</f>
        <v>404970.791323796</v>
      </c>
      <c r="AV235" s="54" t="n">
        <f aca="false">ATAN(0.99664719*TAN($A$10*input!$E$2))</f>
        <v>0.871010436227447</v>
      </c>
      <c r="AW235" s="54" t="n">
        <f aca="false">COS(AV235)</f>
        <v>0.644053912545845</v>
      </c>
      <c r="AX235" s="54" t="n">
        <f aca="false">0.99664719*SIN(AV235)</f>
        <v>0.762415269897027</v>
      </c>
      <c r="AY235" s="54" t="n">
        <f aca="false">6378.14/AU235</f>
        <v>0.0157496296934174</v>
      </c>
      <c r="AZ235" s="55" t="n">
        <f aca="false">M235-15*AH235</f>
        <v>255.599097748261</v>
      </c>
      <c r="BA235" s="56" t="n">
        <f aca="false">COS($A$10*AG235)*SIN($A$10*AZ235)</f>
        <v>-0.864131744456028</v>
      </c>
      <c r="BB235" s="56" t="n">
        <f aca="false">COS($A$10*AG235)*COS($A$10*AZ235)-AW235*AY235</f>
        <v>-0.232029437051242</v>
      </c>
      <c r="BC235" s="56" t="n">
        <f aca="false">SIN($A$10*AG235)-AX235*AY235</f>
        <v>0.439703441880943</v>
      </c>
      <c r="BD235" s="57" t="n">
        <f aca="false">SQRT(BA235^2+BB235^2+BC235^2)</f>
        <v>0.996945559314491</v>
      </c>
      <c r="BE235" s="58" t="n">
        <f aca="false">AU235*BD235</f>
        <v>403733.832062334</v>
      </c>
    </row>
    <row r="236" customFormat="false" ht="15" hidden="false" customHeight="false" outlineLevel="0" collapsed="false">
      <c r="D236" s="41" t="n">
        <f aca="false">K236-INT(275*E236/9)+IF($A$8="common year",2,1)*INT((E236+9)/12)+30</f>
        <v>23</v>
      </c>
      <c r="E236" s="41" t="n">
        <f aca="false">IF(K236&lt;32,1,INT(9*(IF($A$8="common year",2,1)+K236)/275+0.98))</f>
        <v>8</v>
      </c>
      <c r="F236" s="42" t="n">
        <f aca="false">AM236</f>
        <v>4.31558654391884</v>
      </c>
      <c r="G236" s="60" t="n">
        <f aca="false">F236+1.02/(TAN($A$10*(F236+10.3/(F236+5.11)))*60)</f>
        <v>4.49514822308539</v>
      </c>
      <c r="H236" s="43" t="n">
        <f aca="false">100*(1+COS($A$10*AQ236))/2</f>
        <v>16.913717870742</v>
      </c>
      <c r="I236" s="43" t="n">
        <f aca="false">IF(AI236&gt;180,AT236-180,AT236+180)</f>
        <v>53.0586093962286</v>
      </c>
      <c r="J236" s="61" t="n">
        <f aca="false">$J$2+K235</f>
        <v>2459814.5</v>
      </c>
      <c r="K236" s="21" t="n">
        <v>235</v>
      </c>
      <c r="L236" s="62" t="n">
        <f aca="false">(J236-2451545)/36525</f>
        <v>0.226406570841889</v>
      </c>
      <c r="M236" s="63" t="n">
        <f aca="false">MOD(280.46061837+360.98564736629*(J236-2451545)+0.000387933*L236^2-L236^3/38710000+$B$7,360)</f>
        <v>346.27153379051</v>
      </c>
      <c r="N236" s="30" t="n">
        <f aca="false">0.606433+1336.855225*L236 - INT(0.606433+1336.855225*L236)</f>
        <v>0.279240204312089</v>
      </c>
      <c r="O236" s="35" t="n">
        <f aca="false">22640*SIN(P236)-4586*SIN(P236-2*R236)+2370*SIN(2*R236)+769*SIN(2*P236)-668*SIN(Q236)-412*SIN(2*S236)-212*SIN(2*P236-2*R236)-206*SIN(P236+Q236-2*R236)+192*SIN(P236+2*R236)-165*SIN(Q236-2*R236)-125*SIN(R236)-110*SIN(P236+Q236)+148*SIN(P236-Q236)-55*SIN(2*S236-2*R236)</f>
        <v>3697.63092349944</v>
      </c>
      <c r="P236" s="32" t="n">
        <f aca="false">2*PI()*(0.374897+1325.55241*L236 - INT(0.374897+1325.55241*L236))</f>
        <v>3.07042062161827</v>
      </c>
      <c r="Q236" s="36" t="n">
        <f aca="false">2*PI()*(0.993133+99.997361*L236 - INT(0.993133+99.997361*L236))</f>
        <v>3.9784664236464</v>
      </c>
      <c r="R236" s="36" t="n">
        <f aca="false">2*PI()*(0.827361+1236.853086*L236 - INT(0.827361+1236.853086*L236))</f>
        <v>5.39742479736971</v>
      </c>
      <c r="S236" s="36" t="n">
        <f aca="false">2*PI()*(0.259086+1342.227825*L236 - INT(0.259086+1342.227825*L236))</f>
        <v>0.931703055755255</v>
      </c>
      <c r="T236" s="36" t="n">
        <f aca="false">S236+(O236+412*SIN(2*S236)+541*SIN(Q236))/206264.8062</f>
        <v>0.949594607744243</v>
      </c>
      <c r="U236" s="36" t="n">
        <f aca="false">S236-2*R236</f>
        <v>-9.86314653898416</v>
      </c>
      <c r="V236" s="34" t="n">
        <f aca="false">-526*SIN(U236)+44*SIN(P236+U236)-31*SIN(-P236+U236)-23*SIN(Q236+U236)+11*SIN(-Q236+U236)-25*SIN(-2*P236+S236)+21*SIN(-P236+S236)</f>
        <v>-292.730461021101</v>
      </c>
      <c r="W236" s="36" t="n">
        <f aca="false">2*PI()*(N236+O236/1296000-INT(N236+O236/1296000))</f>
        <v>1.7724445695016</v>
      </c>
      <c r="X236" s="35" t="n">
        <f aca="false">W236*180/PI()</f>
        <v>101.553593253324</v>
      </c>
      <c r="Y236" s="36" t="n">
        <f aca="false">(18520*SIN(T236)+V236)/206264.8062</f>
        <v>0.071594163464555</v>
      </c>
      <c r="Z236" s="36" t="n">
        <f aca="false">Y236*180/PI()</f>
        <v>4.10204340428872</v>
      </c>
      <c r="AA236" s="36" t="n">
        <f aca="false">COS(Y236)*COS(W236)</f>
        <v>-0.199771365581151</v>
      </c>
      <c r="AB236" s="36" t="n">
        <f aca="false">COS(Y236)*SIN(W236)</f>
        <v>0.977227930910483</v>
      </c>
      <c r="AC236" s="36" t="n">
        <f aca="false">SIN(Y236)</f>
        <v>0.0715330171477386</v>
      </c>
      <c r="AD236" s="36" t="n">
        <f aca="false">COS($A$10*(23.4393-46.815*L236/3600))*AB236-SIN($A$10*(23.4393-46.815*L236/3600))*AC236</f>
        <v>0.86815817282915</v>
      </c>
      <c r="AE236" s="36" t="n">
        <f aca="false">SIN($A$10*(23.4393-46.815*L236/3600))*AB236+COS($A$10*(23.4393-46.815*L236/3600))*AC236</f>
        <v>0.454304730818197</v>
      </c>
      <c r="AF236" s="36" t="n">
        <f aca="false">SQRT(1-AE236*AE236)</f>
        <v>0.890846345649016</v>
      </c>
      <c r="AG236" s="35" t="n">
        <f aca="false">ATAN(AE236/AF236)/$A$10</f>
        <v>27.0202083064395</v>
      </c>
      <c r="AH236" s="36" t="n">
        <f aca="false">IF(24*ATAN(AD236/(AA236+AF236))/PI()&gt;0,24*ATAN(AD236/(AA236+AF236))/PI(),24*ATAN(AD236/(AA236+AF236))/PI()+24)</f>
        <v>6.86391454586241</v>
      </c>
      <c r="AI236" s="63" t="n">
        <f aca="false">IF(M236-15*AH236&gt;0,M236-15*AH236,360+M236-15*AH236)</f>
        <v>243.312815602574</v>
      </c>
      <c r="AJ236" s="32" t="n">
        <f aca="false">0.950724+0.051818*COS(P236)+0.009531*COS(2*R236-P236)+0.007843*COS(2*R236)+0.002824*COS(2*P236)+0.000857*COS(2*R236+P236)+0.000533*COS(2*R236-Q236)*(1-0.002495*(J236-2415020)/36525)+0.000401*COS(2*R236-Q236-P236)*(1-0.002495*(J236-2415020)/36525)+0.00032*COS(P236-Q236)*(1-0.002495*(J236-2415020)/36525)-0.000271*COS(R236)</f>
        <v>0.901883838733282</v>
      </c>
      <c r="AK236" s="36" t="n">
        <f aca="false">ASIN(COS($A$10*$B$5)*COS($A$10*AG236)*COS($A$10*AI236)+SIN($A$10*$B$5)*SIN($A$10*AG236))/$A$10</f>
        <v>5.21197705250525</v>
      </c>
      <c r="AL236" s="32" t="n">
        <f aca="false">ASIN((0.9983271+0.0016764*COS($A$10*2*$B$5))*COS($A$10*AK236)*SIN($A$10*AJ236))/$A$10</f>
        <v>0.896390508586412</v>
      </c>
      <c r="AM236" s="32" t="n">
        <f aca="false">AK236-AL236</f>
        <v>4.31558654391884</v>
      </c>
      <c r="AN236" s="35" t="n">
        <f aca="false"> MOD(280.4664567 + 360007.6982779*L236/10 + 0.03032028*L236^2/100 + L236^3/49931000,360)</f>
        <v>151.27731662047</v>
      </c>
      <c r="AO236" s="32" t="n">
        <f aca="false"> AN236 + (1.9146 - 0.004817*L236 - 0.000014*L236^2)*SIN(Q236)+ (0.019993 - 0.000101*L236)*SIN(2*Q236)+ 0.00029*SIN(3*Q236)</f>
        <v>149.876128625604</v>
      </c>
      <c r="AP236" s="32" t="n">
        <f aca="false">ACOS(COS(W236-$A$10*AO236)*COS(Y236))/$A$10</f>
        <v>48.4530744239283</v>
      </c>
      <c r="AQ236" s="34" t="n">
        <f aca="false">180 - AP236 -0.1468*(1-0.0549*SIN(Q236))*SIN($A$10*AP236)/(1-0.0167*SIN($A$10*AO236))</f>
        <v>131.431613264314</v>
      </c>
      <c r="AR236" s="64" t="n">
        <f aca="false">SIN($A$10*AI236)</f>
        <v>-0.893471867163824</v>
      </c>
      <c r="AS236" s="64" t="n">
        <f aca="false">COS($A$10*AI236)*SIN($A$10*$B$5) - TAN($A$10*AG236)*COS($A$10*$B$5)</f>
        <v>-0.671847506506559</v>
      </c>
      <c r="AT236" s="24" t="n">
        <f aca="false">IF(OR(AND(AR236*AS236&gt;0), AND(AR236&lt;0,AS236&gt;0)), MOD(ATAN2(AS236,AR236)/$A$10+360,360),  ATAN2(AS236,AR236)/$A$10)</f>
        <v>233.058609396229</v>
      </c>
      <c r="AU236" s="39" t="n">
        <f aca="false"> 385000.56 + (-20905355*COS(P236) - 3699111*COS(2*R236-P236) - 2955968*COS(2*R236) - 569925*COS(2*P236) + (1-0.002516*L236)*48888*COS(Q236) - 3149*COS(2*S236)  +246158*COS(2*R236-2*P236) -(1 - 0.002516*L236)*152138*COS(2*R236-Q236-P236) -170733*COS(2*R236+P236) -(1 - 0.002516*L236)*204586*COS(2*R236-Q236) -(1 - 0.002516*L236)*129620*COS(Q236-P236)  + 108743*COS(R236) +(1-0.002516*L236)*104755*COS(Q236+P236) +10321*COS(2*R236-2*S236) +79661*COS(P236-2*S236) -34782*COS(4*R236-P236) -23210*COS(3*P236)  -21636*COS(4*R236-2*P236) +(1 - 0.002516*L236)*24208*COS(2*R236+Q236-P236) +(1 - 0.002516*L236)*30824*COS(2*R236+Q236) -8379*COS(R236-P236) -(1 - 0.002516*L236)*16675*COS(R236+Q236)  -(1 - 0.002516*L236)*12831*COS(2*R236-Q236+P236) -10445*COS(2*R236+2*P236) -11650*COS(4*R236) +14403*COS(2*R236-3*P236) -(1-0.002516*L236)*7003*COS(Q236-2*P236)  + (1 - 0.002516*L236)*10056*COS(2*R236-Q236-2*P236) +6322*COS(R236+P236) -(1 - 0.002516*L236)*(1-0.002516*L236)*9884*COS(2*R236-2*Q236) +(1-0.002516*L236)*5751*COS(Q236+2*P236) - (1-0.002516*L236)^2*4950*COS(2*R236-2*Q236-P236)  +4130*COS(2*R236+P236-2*S236) -(1-0.002516*L236)*3958*COS(4*R236-Q236-P236) +3258*COS(3*R236-P236) +(1 - 0.002516*L236)*2616*COS(2*R236+Q236+P236) -(1 - 0.002516*L236)*1897*COS(4*R236-Q236-2*P236)  -(1-0.002516*L236)^2*2117*COS(2*Q236-P236) +(1-0.002516*L236)^2*2354*COS(2*R236+2*Q236-P236) -1423*COS(4*R236+P236) -1117*COS(4*P236) -(1-0.002516*L236)*1571*COS(4*R236-Q236)  -1739*COS(R236-2*P236) -4421*COS(2*P236-2*S236) +(1-0.002516*L236)^2*1165*COS(2*Q236+P236) +8752*COS(2*R236-P236-2*S236))/1000</f>
        <v>405416.836659588</v>
      </c>
      <c r="AV236" s="54" t="n">
        <f aca="false">ATAN(0.99664719*TAN($A$10*input!$E$2))</f>
        <v>0.871010436227447</v>
      </c>
      <c r="AW236" s="54" t="n">
        <f aca="false">COS(AV236)</f>
        <v>0.644053912545845</v>
      </c>
      <c r="AX236" s="54" t="n">
        <f aca="false">0.99664719*SIN(AV236)</f>
        <v>0.762415269897027</v>
      </c>
      <c r="AY236" s="54" t="n">
        <f aca="false">6378.14/AU236</f>
        <v>0.0157323017281482</v>
      </c>
      <c r="AZ236" s="55" t="n">
        <f aca="false">M236-15*AH236</f>
        <v>243.312815602574</v>
      </c>
      <c r="BA236" s="56" t="n">
        <f aca="false">COS($A$10*AG236)*SIN($A$10*AZ236)</f>
        <v>-0.795946147803095</v>
      </c>
      <c r="BB236" s="56" t="n">
        <f aca="false">COS($A$10*AG236)*COS($A$10*AZ236)-AW236*AY236</f>
        <v>-0.410228615613723</v>
      </c>
      <c r="BC236" s="56" t="n">
        <f aca="false">SIN($A$10*AG236)-AX236*AY236</f>
        <v>0.442310183750029</v>
      </c>
      <c r="BD236" s="57" t="n">
        <f aca="false">SQRT(BA236^2+BB236^2+BC236^2)</f>
        <v>0.998727232992034</v>
      </c>
      <c r="BE236" s="58" t="n">
        <f aca="false">AU236*BD236</f>
        <v>404900.835485413</v>
      </c>
    </row>
    <row r="237" customFormat="false" ht="15" hidden="false" customHeight="false" outlineLevel="0" collapsed="false">
      <c r="D237" s="41" t="n">
        <f aca="false">K237-INT(275*E237/9)+IF($A$8="common year",2,1)*INT((E237+9)/12)+30</f>
        <v>24</v>
      </c>
      <c r="E237" s="41" t="n">
        <f aca="false">IF(K237&lt;32,1,INT(9*(IF($A$8="common year",2,1)+K237)/275+0.98))</f>
        <v>8</v>
      </c>
      <c r="F237" s="42" t="n">
        <f aca="false">AM237</f>
        <v>-2.49704582056977</v>
      </c>
      <c r="G237" s="60" t="n">
        <f aca="false">F237+1.02/(TAN($A$10*(F237+10.3/(F237+5.11)))*60)</f>
        <v>-1.82305197294961</v>
      </c>
      <c r="H237" s="43" t="n">
        <f aca="false">100*(1+COS($A$10*AQ237))/2</f>
        <v>10.45975856511</v>
      </c>
      <c r="I237" s="43" t="n">
        <f aca="false">IF(AI237&gt;180,AT237-180,AT237+180)</f>
        <v>44.4318037940259</v>
      </c>
      <c r="J237" s="61" t="n">
        <f aca="false">$J$2+K236</f>
        <v>2459815.5</v>
      </c>
      <c r="K237" s="21" t="n">
        <v>236</v>
      </c>
      <c r="L237" s="62" t="n">
        <f aca="false">(J237-2451545)/36525</f>
        <v>0.22643394934976</v>
      </c>
      <c r="M237" s="63" t="n">
        <f aca="false">MOD(280.46061837+360.98564736629*(J237-2451545)+0.000387933*L237^2-L237^3/38710000+$B$7,360)</f>
        <v>347.257181161083</v>
      </c>
      <c r="N237" s="30" t="n">
        <f aca="false">0.606433+1336.855225*L237 - INT(0.606433+1336.855225*L237)</f>
        <v>0.315841305612594</v>
      </c>
      <c r="O237" s="35" t="n">
        <f aca="false">22640*SIN(P237)-4586*SIN(P237-2*R237)+2370*SIN(2*R237)+769*SIN(2*P237)-668*SIN(Q237)-412*SIN(2*S237)-212*SIN(2*P237-2*R237)-206*SIN(P237+Q237-2*R237)+192*SIN(P237+2*R237)-165*SIN(Q237-2*R237)-125*SIN(R237)-110*SIN(P237+Q237)+148*SIN(P237-Q237)-55*SIN(2*S237-2*R237)</f>
        <v>-958.540971102256</v>
      </c>
      <c r="P237" s="32" t="n">
        <f aca="false">2*PI()*(0.374897+1325.55241*L237 - INT(0.374897+1325.55241*L237))</f>
        <v>3.29844776539409</v>
      </c>
      <c r="Q237" s="36" t="n">
        <f aca="false">2*PI()*(0.993133+99.997361*L237 - INT(0.993133+99.997361*L237))</f>
        <v>3.99566839351339</v>
      </c>
      <c r="R237" s="36" t="n">
        <f aca="false">2*PI()*(0.827361+1236.853086*L237 - INT(0.827361+1236.853086*L237))</f>
        <v>5.61019350748873</v>
      </c>
      <c r="S237" s="36" t="n">
        <f aca="false">2*PI()*(0.259086+1342.227825*L237 - INT(0.259086+1342.227825*L237))</f>
        <v>1.16259877509626</v>
      </c>
      <c r="T237" s="36" t="n">
        <f aca="false">S237+(O237+412*SIN(2*S237)+541*SIN(Q237))/206264.8062</f>
        <v>1.15742960117535</v>
      </c>
      <c r="U237" s="36" t="n">
        <f aca="false">S237-2*R237</f>
        <v>-10.0577882398812</v>
      </c>
      <c r="V237" s="34" t="n">
        <f aca="false">-526*SIN(U237)+44*SIN(P237+U237)-31*SIN(-P237+U237)-23*SIN(Q237+U237)+11*SIN(-Q237+U237)-25*SIN(-2*P237+S237)+21*SIN(-P237+S237)</f>
        <v>-361.822341082476</v>
      </c>
      <c r="W237" s="36" t="n">
        <f aca="false">2*PI()*(N237+O237/1296000-INT(N237+O237/1296000))</f>
        <v>1.97984231305852</v>
      </c>
      <c r="X237" s="35" t="n">
        <f aca="false">W237*180/PI()</f>
        <v>113.436608639672</v>
      </c>
      <c r="Y237" s="36" t="n">
        <f aca="false">(18520*SIN(T237)+V237)/206264.8062</f>
        <v>0.0804708539289339</v>
      </c>
      <c r="Z237" s="36" t="n">
        <f aca="false">Y237*180/PI()</f>
        <v>4.61064030394165</v>
      </c>
      <c r="AA237" s="36" t="n">
        <f aca="false">COS(Y237)*COS(W237)</f>
        <v>-0.396447120121668</v>
      </c>
      <c r="AB237" s="36" t="n">
        <f aca="false">COS(Y237)*SIN(W237)</f>
        <v>0.914531622291406</v>
      </c>
      <c r="AC237" s="36" t="n">
        <f aca="false">SIN(Y237)</f>
        <v>0.0803840330929302</v>
      </c>
      <c r="AD237" s="36" t="n">
        <f aca="false">COS($A$10*(23.4393-46.815*L237/3600))*AB237-SIN($A$10*(23.4393-46.815*L237/3600))*AC237</f>
        <v>0.807113843527114</v>
      </c>
      <c r="AE237" s="36" t="n">
        <f aca="false">SIN($A$10*(23.4393-46.815*L237/3600))*AB237+COS($A$10*(23.4393-46.815*L237/3600))*AC237</f>
        <v>0.437489342194899</v>
      </c>
      <c r="AF237" s="36" t="n">
        <f aca="false">SQRT(1-AE237*AE237)</f>
        <v>0.899223595923658</v>
      </c>
      <c r="AG237" s="35" t="n">
        <f aca="false">ATAN(AE237/AF237)/$A$10</f>
        <v>25.9438006876412</v>
      </c>
      <c r="AH237" s="36" t="n">
        <f aca="false">IF(24*ATAN(AD237/(AA237+AF237))/PI()&gt;0,24*ATAN(AD237/(AA237+AF237))/PI(),24*ATAN(AD237/(AA237+AF237))/PI()+24)</f>
        <v>7.74399060099836</v>
      </c>
      <c r="AI237" s="63" t="n">
        <f aca="false">IF(M237-15*AH237&gt;0,M237-15*AH237,360+M237-15*AH237)</f>
        <v>231.097322146108</v>
      </c>
      <c r="AJ237" s="32" t="n">
        <f aca="false">0.950724+0.051818*COS(P237)+0.009531*COS(2*R237-P237)+0.007843*COS(2*R237)+0.002824*COS(2*P237)+0.000857*COS(2*R237+P237)+0.000533*COS(2*R237-Q237)*(1-0.002495*(J237-2415020)/36525)+0.000401*COS(2*R237-Q237-P237)*(1-0.002495*(J237-2415020)/36525)+0.00032*COS(P237-Q237)*(1-0.002495*(J237-2415020)/36525)-0.000271*COS(R237)</f>
        <v>0.903072812845065</v>
      </c>
      <c r="AK237" s="36" t="n">
        <f aca="false">ASIN(COS($A$10*$B$5)*COS($A$10*AG237)*COS($A$10*AI237)+SIN($A$10*$B$5)*SIN($A$10*AG237))/$A$10</f>
        <v>-1.59609651196722</v>
      </c>
      <c r="AL237" s="32" t="n">
        <f aca="false">ASIN((0.9983271+0.0016764*COS($A$10*2*$B$5))*COS($A$10*AK237)*SIN($A$10*AJ237))/$A$10</f>
        <v>0.900949308602546</v>
      </c>
      <c r="AM237" s="32" t="n">
        <f aca="false">AK237-AL237</f>
        <v>-2.49704582056977</v>
      </c>
      <c r="AN237" s="35" t="n">
        <f aca="false"> MOD(280.4664567 + 360007.6982779*L237/10 + 0.03032028*L237^2/100 + L237^3/49931000,360)</f>
        <v>152.262963984333</v>
      </c>
      <c r="AO237" s="32" t="n">
        <f aca="false"> AN237 + (1.9146 - 0.004817*L237 - 0.000014*L237^2)*SIN(Q237)+ (0.019993 - 0.000101*L237)*SIN(2*Q237)+ 0.00029*SIN(3*Q237)</f>
        <v>150.839870546605</v>
      </c>
      <c r="AP237" s="32" t="n">
        <f aca="false">ACOS(COS(W237-$A$10*AO237)*COS(Y237))/$A$10</f>
        <v>37.6450741966521</v>
      </c>
      <c r="AQ237" s="34" t="n">
        <f aca="false">180 - AP237 -0.1468*(1-0.0549*SIN(Q237))*SIN($A$10*AP237)/(1-0.0167*SIN($A$10*AO237))</f>
        <v>142.260787714882</v>
      </c>
      <c r="AR237" s="64" t="n">
        <f aca="false">SIN($A$10*AI237)</f>
        <v>-0.778213798335963</v>
      </c>
      <c r="AS237" s="64" t="n">
        <f aca="false">COS($A$10*AI237)*SIN($A$10*$B$5) - TAN($A$10*AG237)*COS($A$10*$B$5)</f>
        <v>-0.793803842647654</v>
      </c>
      <c r="AT237" s="24" t="n">
        <f aca="false">IF(OR(AND(AR237*AS237&gt;0), AND(AR237&lt;0,AS237&gt;0)), MOD(ATAN2(AS237,AR237)/$A$10+360,360),  ATAN2(AS237,AR237)/$A$10)</f>
        <v>224.431803794026</v>
      </c>
      <c r="AU237" s="39" t="n">
        <f aca="false"> 385000.56 + (-20905355*COS(P237) - 3699111*COS(2*R237-P237) - 2955968*COS(2*R237) - 569925*COS(2*P237) + (1-0.002516*L237)*48888*COS(Q237) - 3149*COS(2*S237)  +246158*COS(2*R237-2*P237) -(1 - 0.002516*L237)*152138*COS(2*R237-Q237-P237) -170733*COS(2*R237+P237) -(1 - 0.002516*L237)*204586*COS(2*R237-Q237) -(1 - 0.002516*L237)*129620*COS(Q237-P237)  + 108743*COS(R237) +(1-0.002516*L237)*104755*COS(Q237+P237) +10321*COS(2*R237-2*S237) +79661*COS(P237-2*S237) -34782*COS(4*R237-P237) -23210*COS(3*P237)  -21636*COS(4*R237-2*P237) +(1 - 0.002516*L237)*24208*COS(2*R237+Q237-P237) +(1 - 0.002516*L237)*30824*COS(2*R237+Q237) -8379*COS(R237-P237) -(1 - 0.002516*L237)*16675*COS(R237+Q237)  -(1 - 0.002516*L237)*12831*COS(2*R237-Q237+P237) -10445*COS(2*R237+2*P237) -11650*COS(4*R237) +14403*COS(2*R237-3*P237) -(1-0.002516*L237)*7003*COS(Q237-2*P237)  + (1 - 0.002516*L237)*10056*COS(2*R237-Q237-2*P237) +6322*COS(R237+P237) -(1 - 0.002516*L237)*(1-0.002516*L237)*9884*COS(2*R237-2*Q237) +(1-0.002516*L237)*5751*COS(Q237+2*P237) - (1-0.002516*L237)^2*4950*COS(2*R237-2*Q237-P237)  +4130*COS(2*R237+P237-2*S237) -(1-0.002516*L237)*3958*COS(4*R237-Q237-P237) +3258*COS(3*R237-P237) +(1 - 0.002516*L237)*2616*COS(2*R237+Q237+P237) -(1 - 0.002516*L237)*1897*COS(4*R237-Q237-2*P237)  -(1-0.002516*L237)^2*2117*COS(2*Q237-P237) +(1-0.002516*L237)^2*2354*COS(2*R237+2*Q237-P237) -1423*COS(4*R237+P237) -1117*COS(4*P237) -(1-0.002516*L237)*1571*COS(4*R237-Q237)  -1739*COS(R237-2*P237) -4421*COS(2*P237-2*S237) +(1-0.002516*L237)^2*1165*COS(2*Q237+P237) +8752*COS(2*R237-P237-2*S237))/1000</f>
        <v>404836.777272161</v>
      </c>
      <c r="AV237" s="54" t="n">
        <f aca="false">ATAN(0.99664719*TAN($A$10*input!$E$2))</f>
        <v>0.871010436227447</v>
      </c>
      <c r="AW237" s="54" t="n">
        <f aca="false">COS(AV237)</f>
        <v>0.644053912545845</v>
      </c>
      <c r="AX237" s="54" t="n">
        <f aca="false">0.99664719*SIN(AV237)</f>
        <v>0.762415269897027</v>
      </c>
      <c r="AY237" s="54" t="n">
        <f aca="false">6378.14/AU237</f>
        <v>0.0157548433296418</v>
      </c>
      <c r="AZ237" s="55" t="n">
        <f aca="false">M237-15*AH237</f>
        <v>231.097322146108</v>
      </c>
      <c r="BA237" s="56" t="n">
        <f aca="false">COS($A$10*AG237)*SIN($A$10*AZ237)</f>
        <v>-0.699788210137073</v>
      </c>
      <c r="BB237" s="56" t="n">
        <f aca="false">COS($A$10*AG237)*COS($A$10*AZ237)-AW237*AY237</f>
        <v>-0.574858874170029</v>
      </c>
      <c r="BC237" s="56" t="n">
        <f aca="false">SIN($A$10*AG237)-AX237*AY237</f>
        <v>0.425477609065545</v>
      </c>
      <c r="BD237" s="57" t="n">
        <f aca="false">SQRT(BA237^2+BB237^2+BC237^2)</f>
        <v>1.00059855090591</v>
      </c>
      <c r="BE237" s="58" t="n">
        <f aca="false">AU237*BD237</f>
        <v>405079.092691945</v>
      </c>
    </row>
    <row r="238" customFormat="false" ht="15" hidden="false" customHeight="false" outlineLevel="0" collapsed="false">
      <c r="D238" s="41" t="n">
        <f aca="false">K238-INT(275*E238/9)+IF($A$8="common year",2,1)*INT((E238+9)/12)+30</f>
        <v>25</v>
      </c>
      <c r="E238" s="41" t="n">
        <f aca="false">IF(K238&lt;32,1,INT(9*(IF($A$8="common year",2,1)+K238)/275+0.98))</f>
        <v>8</v>
      </c>
      <c r="F238" s="42" t="n">
        <f aca="false">AM238</f>
        <v>-9.45029564058383</v>
      </c>
      <c r="G238" s="60" t="n">
        <f aca="false">F238+1.02/(TAN($A$10*(F238+10.3/(F238+5.11)))*60)</f>
        <v>-9.5315043086638</v>
      </c>
      <c r="H238" s="43" t="n">
        <f aca="false">100*(1+COS($A$10*AQ238))/2</f>
        <v>5.40220226025605</v>
      </c>
      <c r="I238" s="43" t="n">
        <f aca="false">IF(AI238&gt;180,AT238-180,AT238+180)</f>
        <v>35.7894185117546</v>
      </c>
      <c r="J238" s="61" t="n">
        <f aca="false">$J$2+K237</f>
        <v>2459816.5</v>
      </c>
      <c r="K238" s="21" t="n">
        <v>237</v>
      </c>
      <c r="L238" s="62" t="n">
        <f aca="false">(J238-2451545)/36525</f>
        <v>0.226461327857632</v>
      </c>
      <c r="M238" s="63" t="n">
        <f aca="false">MOD(280.46061837+360.98564736629*(J238-2451545)+0.000387933*L238^2-L238^3/38710000+$B$7,360)</f>
        <v>348.242828532122</v>
      </c>
      <c r="N238" s="30" t="n">
        <f aca="false">0.606433+1336.855225*L238 - INT(0.606433+1336.855225*L238)</f>
        <v>0.352442406913042</v>
      </c>
      <c r="O238" s="35" t="n">
        <f aca="false">22640*SIN(P238)-4586*SIN(P238-2*R238)+2370*SIN(2*R238)+769*SIN(2*P238)-668*SIN(Q238)-412*SIN(2*S238)-212*SIN(2*P238-2*R238)-206*SIN(P238+Q238-2*R238)+192*SIN(P238+2*R238)-165*SIN(Q238-2*R238)-125*SIN(R238)-110*SIN(P238+Q238)+148*SIN(P238-Q238)-55*SIN(2*S238-2*R238)</f>
        <v>-5267.42170009864</v>
      </c>
      <c r="P238" s="32" t="n">
        <f aca="false">2*PI()*(0.374897+1325.55241*L238 - INT(0.374897+1325.55241*L238))</f>
        <v>3.52647490916955</v>
      </c>
      <c r="Q238" s="36" t="n">
        <f aca="false">2*PI()*(0.993133+99.997361*L238 - INT(0.993133+99.997361*L238))</f>
        <v>4.0128703633804</v>
      </c>
      <c r="R238" s="36" t="n">
        <f aca="false">2*PI()*(0.827361+1236.853086*L238 - INT(0.827361+1236.853086*L238))</f>
        <v>5.82296221760776</v>
      </c>
      <c r="S238" s="36" t="n">
        <f aca="false">2*PI()*(0.259086+1342.227825*L238 - INT(0.259086+1342.227825*L238))</f>
        <v>1.39349449443691</v>
      </c>
      <c r="T238" s="36" t="n">
        <f aca="false">S238+(O238+412*SIN(2*S238)+541*SIN(Q238))/206264.8062</f>
        <v>1.36664398591271</v>
      </c>
      <c r="U238" s="36" t="n">
        <f aca="false">S238-2*R238</f>
        <v>-10.2524299407786</v>
      </c>
      <c r="V238" s="34" t="n">
        <f aca="false">-526*SIN(U238)+44*SIN(P238+U238)-31*SIN(-P238+U238)-23*SIN(Q238+U238)+11*SIN(-Q238+U238)-25*SIN(-2*P238+S238)+21*SIN(-P238+S238)</f>
        <v>-421.419629359419</v>
      </c>
      <c r="W238" s="36" t="n">
        <f aca="false">2*PI()*(N238+O238/1296000-INT(N238+O238/1296000))</f>
        <v>2.18892377169922</v>
      </c>
      <c r="X238" s="35" t="n">
        <f aca="false">W238*180/PI()</f>
        <v>125.416093794223</v>
      </c>
      <c r="Y238" s="36" t="n">
        <f aca="false">(18520*SIN(T238)+V238)/206264.8062</f>
        <v>0.0858797937691213</v>
      </c>
      <c r="Z238" s="36" t="n">
        <f aca="false">Y238*180/PI()</f>
        <v>4.92054972842456</v>
      </c>
      <c r="AA238" s="36" t="n">
        <f aca="false">COS(Y238)*COS(W238)</f>
        <v>-0.577374381862741</v>
      </c>
      <c r="AB238" s="36" t="n">
        <f aca="false">COS(Y238)*SIN(W238)</f>
        <v>0.811961574364636</v>
      </c>
      <c r="AC238" s="36" t="n">
        <f aca="false">SIN(Y238)</f>
        <v>0.0857742672595959</v>
      </c>
      <c r="AD238" s="36" t="n">
        <f aca="false">COS($A$10*(23.4393-46.815*L238/3600))*AB238-SIN($A$10*(23.4393-46.815*L238/3600))*AC238</f>
        <v>0.710861717953102</v>
      </c>
      <c r="AE238" s="36" t="n">
        <f aca="false">SIN($A$10*(23.4393-46.815*L238/3600))*AB238+COS($A$10*(23.4393-46.815*L238/3600))*AC238</f>
        <v>0.401639690664883</v>
      </c>
      <c r="AF238" s="36" t="n">
        <f aca="false">SQRT(1-AE238*AE238)</f>
        <v>0.915797771826628</v>
      </c>
      <c r="AG238" s="35" t="n">
        <f aca="false">ATAN(AE238/AF238)/$A$10</f>
        <v>23.6807235502498</v>
      </c>
      <c r="AH238" s="36" t="n">
        <f aca="false">IF(24*ATAN(AD238/(AA238+AF238))/PI()&gt;0,24*ATAN(AD238/(AA238+AF238))/PI(),24*ATAN(AD238/(AA238+AF238))/PI()+24)</f>
        <v>8.60560736423333</v>
      </c>
      <c r="AI238" s="63" t="n">
        <f aca="false">IF(M238-15*AH238&gt;0,M238-15*AH238,360+M238-15*AH238)</f>
        <v>219.158718068622</v>
      </c>
      <c r="AJ238" s="32" t="n">
        <f aca="false">0.950724+0.051818*COS(P238)+0.009531*COS(2*R238-P238)+0.007843*COS(2*R238)+0.002824*COS(2*P238)+0.000857*COS(2*R238+P238)+0.000533*COS(2*R238-Q238)*(1-0.002495*(J238-2415020)/36525)+0.000401*COS(2*R238-Q238-P238)*(1-0.002495*(J238-2415020)/36525)+0.00032*COS(P238-Q238)*(1-0.002495*(J238-2415020)/36525)-0.000271*COS(R238)</f>
        <v>0.906163826826245</v>
      </c>
      <c r="AK238" s="36" t="n">
        <f aca="false">ASIN(COS($A$10*$B$5)*COS($A$10*AG238)*COS($A$10*AI238)+SIN($A$10*$B$5)*SIN($A$10*AG238))/$A$10</f>
        <v>-8.55597739750151</v>
      </c>
      <c r="AL238" s="32" t="n">
        <f aca="false">ASIN((0.9983271+0.0016764*COS($A$10*2*$B$5))*COS($A$10*AK238)*SIN($A$10*AJ238))/$A$10</f>
        <v>0.894318243082327</v>
      </c>
      <c r="AM238" s="32" t="n">
        <f aca="false">AK238-AL238</f>
        <v>-9.45029564058383</v>
      </c>
      <c r="AN238" s="35" t="n">
        <f aca="false"> MOD(280.4664567 + 360007.6982779*L238/10 + 0.03032028*L238^2/100 + L238^3/49931000,360)</f>
        <v>153.248611348195</v>
      </c>
      <c r="AO238" s="32" t="n">
        <f aca="false"> AN238 + (1.9146 - 0.004817*L238 - 0.000014*L238^2)*SIN(Q238)+ (0.019993 - 0.000101*L238)*SIN(2*Q238)+ 0.00029*SIN(3*Q238)</f>
        <v>151.804016381583</v>
      </c>
      <c r="AP238" s="32" t="n">
        <f aca="false">ACOS(COS(W238-$A$10*AO238)*COS(Y238))/$A$10</f>
        <v>26.8103876072863</v>
      </c>
      <c r="AQ238" s="34" t="n">
        <f aca="false">180 - AP238 -0.1468*(1-0.0549*SIN(Q238))*SIN($A$10*AP238)/(1-0.0167*SIN($A$10*AO238))</f>
        <v>153.12006970162</v>
      </c>
      <c r="AR238" s="64" t="n">
        <f aca="false">SIN($A$10*AI238)</f>
        <v>-0.631470786798505</v>
      </c>
      <c r="AS238" s="64" t="n">
        <f aca="false">COS($A$10*AI238)*SIN($A$10*$B$5) - TAN($A$10*AG238)*COS($A$10*$B$5)</f>
        <v>-0.87589674901955</v>
      </c>
      <c r="AT238" s="24" t="n">
        <f aca="false">IF(OR(AND(AR238*AS238&gt;0), AND(AR238&lt;0,AS238&gt;0)), MOD(ATAN2(AS238,AR238)/$A$10+360,360),  ATAN2(AS238,AR238)/$A$10)</f>
        <v>215.789418511755</v>
      </c>
      <c r="AU238" s="39" t="n">
        <f aca="false"> 385000.56 + (-20905355*COS(P238) - 3699111*COS(2*R238-P238) - 2955968*COS(2*R238) - 569925*COS(2*P238) + (1-0.002516*L238)*48888*COS(Q238) - 3149*COS(2*S238)  +246158*COS(2*R238-2*P238) -(1 - 0.002516*L238)*152138*COS(2*R238-Q238-P238) -170733*COS(2*R238+P238) -(1 - 0.002516*L238)*204586*COS(2*R238-Q238) -(1 - 0.002516*L238)*129620*COS(Q238-P238)  + 108743*COS(R238) +(1-0.002516*L238)*104755*COS(Q238+P238) +10321*COS(2*R238-2*S238) +79661*COS(P238-2*S238) -34782*COS(4*R238-P238) -23210*COS(3*P238)  -21636*COS(4*R238-2*P238) +(1 - 0.002516*L238)*24208*COS(2*R238+Q238-P238) +(1 - 0.002516*L238)*30824*COS(2*R238+Q238) -8379*COS(R238-P238) -(1 - 0.002516*L238)*16675*COS(R238+Q238)  -(1 - 0.002516*L238)*12831*COS(2*R238-Q238+P238) -10445*COS(2*R238+2*P238) -11650*COS(4*R238) +14403*COS(2*R238-3*P238) -(1-0.002516*L238)*7003*COS(Q238-2*P238)  + (1 - 0.002516*L238)*10056*COS(2*R238-Q238-2*P238) +6322*COS(R238+P238) -(1 - 0.002516*L238)*(1-0.002516*L238)*9884*COS(2*R238-2*Q238) +(1-0.002516*L238)*5751*COS(Q238+2*P238) - (1-0.002516*L238)^2*4950*COS(2*R238-2*Q238-P238)  +4130*COS(2*R238+P238-2*S238) -(1-0.002516*L238)*3958*COS(4*R238-Q238-P238) +3258*COS(3*R238-P238) +(1 - 0.002516*L238)*2616*COS(2*R238+Q238+P238) -(1 - 0.002516*L238)*1897*COS(4*R238-Q238-2*P238)  -(1-0.002516*L238)^2*2117*COS(2*Q238-P238) +(1-0.002516*L238)^2*2354*COS(2*R238+2*Q238-P238) -1423*COS(4*R238+P238) -1117*COS(4*P238) -(1-0.002516*L238)*1571*COS(4*R238-Q238)  -1739*COS(R238-2*P238) -4421*COS(2*P238-2*S238) +(1-0.002516*L238)^2*1165*COS(2*Q238+P238) +8752*COS(2*R238-P238-2*S238))/1000</f>
        <v>403387.475604179</v>
      </c>
      <c r="AV238" s="54" t="n">
        <f aca="false">ATAN(0.99664719*TAN($A$10*input!$E$2))</f>
        <v>0.871010436227447</v>
      </c>
      <c r="AW238" s="54" t="n">
        <f aca="false">COS(AV238)</f>
        <v>0.644053912545845</v>
      </c>
      <c r="AX238" s="54" t="n">
        <f aca="false">0.99664719*SIN(AV238)</f>
        <v>0.762415269897027</v>
      </c>
      <c r="AY238" s="54" t="n">
        <f aca="false">6378.14/AU238</f>
        <v>0.0158114477660643</v>
      </c>
      <c r="AZ238" s="55" t="n">
        <f aca="false">M238-15*AH238</f>
        <v>219.158718068622</v>
      </c>
      <c r="BA238" s="56" t="n">
        <f aca="false">COS($A$10*AG238)*SIN($A$10*AZ238)</f>
        <v>-0.578299539523679</v>
      </c>
      <c r="BB238" s="56" t="n">
        <f aca="false">COS($A$10*AG238)*COS($A$10*AZ238)-AW238*AY238</f>
        <v>-0.720292713194892</v>
      </c>
      <c r="BC238" s="56" t="n">
        <f aca="false">SIN($A$10*AG238)-AX238*AY238</f>
        <v>0.389584801448857</v>
      </c>
      <c r="BD238" s="57" t="n">
        <f aca="false">SQRT(BA238^2+BB238^2+BC238^2)</f>
        <v>1.00251098129392</v>
      </c>
      <c r="BE238" s="58" t="n">
        <f aca="false">AU238*BD238</f>
        <v>404400.374009624</v>
      </c>
    </row>
    <row r="239" customFormat="false" ht="15" hidden="false" customHeight="false" outlineLevel="0" collapsed="false">
      <c r="D239" s="41" t="n">
        <f aca="false">K239-INT(275*E239/9)+IF($A$8="common year",2,1)*INT((E239+9)/12)+30</f>
        <v>26</v>
      </c>
      <c r="E239" s="41" t="n">
        <f aca="false">IF(K239&lt;32,1,INT(9*(IF($A$8="common year",2,1)+K239)/275+0.98))</f>
        <v>8</v>
      </c>
      <c r="F239" s="42" t="n">
        <f aca="false">AM239</f>
        <v>-16.3956804167724</v>
      </c>
      <c r="G239" s="60" t="n">
        <f aca="false">F239+1.02/(TAN($A$10*(F239+10.3/(F239+5.11)))*60)</f>
        <v>-16.4502331590284</v>
      </c>
      <c r="H239" s="43" t="n">
        <f aca="false">100*(1+COS($A$10*AQ239))/2</f>
        <v>1.95372051335009</v>
      </c>
      <c r="I239" s="43" t="n">
        <f aca="false">IF(AI239&gt;180,AT239-180,AT239+180)</f>
        <v>26.82622771722</v>
      </c>
      <c r="J239" s="61" t="n">
        <f aca="false">$J$2+K238</f>
        <v>2459817.5</v>
      </c>
      <c r="K239" s="21" t="n">
        <v>238</v>
      </c>
      <c r="L239" s="62" t="n">
        <f aca="false">(J239-2451545)/36525</f>
        <v>0.226488706365503</v>
      </c>
      <c r="M239" s="63" t="n">
        <f aca="false">MOD(280.46061837+360.98564736629*(J239-2451545)+0.000387933*L239^2-L239^3/38710000+$B$7,360)</f>
        <v>349.228475903627</v>
      </c>
      <c r="N239" s="30" t="n">
        <f aca="false">0.606433+1336.855225*L239 - INT(0.606433+1336.855225*L239)</f>
        <v>0.389043508213547</v>
      </c>
      <c r="O239" s="35" t="n">
        <f aca="false">22640*SIN(P239)-4586*SIN(P239-2*R239)+2370*SIN(2*R239)+769*SIN(2*P239)-668*SIN(Q239)-412*SIN(2*S239)-212*SIN(2*P239-2*R239)-206*SIN(P239+Q239-2*R239)+192*SIN(P239+2*R239)-165*SIN(Q239-2*R239)-125*SIN(R239)-110*SIN(P239+Q239)+148*SIN(P239-Q239)-55*SIN(2*S239-2*R239)</f>
        <v>-9105.84276487259</v>
      </c>
      <c r="P239" s="32" t="n">
        <f aca="false">2*PI()*(0.374897+1325.55241*L239 - INT(0.374897+1325.55241*L239))</f>
        <v>3.75450205294537</v>
      </c>
      <c r="Q239" s="36" t="n">
        <f aca="false">2*PI()*(0.993133+99.997361*L239 - INT(0.993133+99.997361*L239))</f>
        <v>4.03007233324738</v>
      </c>
      <c r="R239" s="36" t="n">
        <f aca="false">2*PI()*(0.827361+1236.853086*L239 - INT(0.827361+1236.853086*L239))</f>
        <v>6.03573092772678</v>
      </c>
      <c r="S239" s="36" t="n">
        <f aca="false">2*PI()*(0.259086+1342.227825*L239 - INT(0.259086+1342.227825*L239))</f>
        <v>1.62439021377791</v>
      </c>
      <c r="T239" s="36" t="n">
        <f aca="false">S239+(O239+412*SIN(2*S239)+541*SIN(Q239))/206264.8062</f>
        <v>1.57799452741754</v>
      </c>
      <c r="U239" s="36" t="n">
        <f aca="false">S239-2*R239</f>
        <v>-10.4470716416757</v>
      </c>
      <c r="V239" s="34" t="n">
        <f aca="false">-526*SIN(U239)+44*SIN(P239+U239)-31*SIN(-P239+U239)-23*SIN(Q239+U239)+11*SIN(-Q239+U239)-25*SIN(-2*P239+S239)+21*SIN(-P239+S239)</f>
        <v>-470.221686904093</v>
      </c>
      <c r="W239" s="36" t="n">
        <f aca="false">2*PI()*(N239+O239/1296000-INT(N239+O239/1296000))</f>
        <v>2.40028608315653</v>
      </c>
      <c r="X239" s="35" t="n">
        <f aca="false">W239*180/PI()</f>
        <v>137.526262188857</v>
      </c>
      <c r="Y239" s="36" t="n">
        <f aca="false">(18520*SIN(T239)+V239)/206264.8062</f>
        <v>0.0875054685731152</v>
      </c>
      <c r="Z239" s="36" t="n">
        <f aca="false">Y239*180/PI()</f>
        <v>5.01369403355416</v>
      </c>
      <c r="AA239" s="36" t="n">
        <f aca="false">COS(Y239)*COS(W239)</f>
        <v>-0.734764797602203</v>
      </c>
      <c r="AB239" s="36" t="n">
        <f aca="false">COS(Y239)*SIN(W239)</f>
        <v>0.672668573299311</v>
      </c>
      <c r="AC239" s="36" t="n">
        <f aca="false">SIN(Y239)</f>
        <v>0.0873938367395674</v>
      </c>
      <c r="AD239" s="36" t="n">
        <f aca="false">COS($A$10*(23.4393-46.815*L239/3600))*AB239-SIN($A$10*(23.4393-46.815*L239/3600))*AC239</f>
        <v>0.582415899542978</v>
      </c>
      <c r="AE239" s="36" t="n">
        <f aca="false">SIN($A$10*(23.4393-46.815*L239/3600))*AB239+COS($A$10*(23.4393-46.815*L239/3600))*AC239</f>
        <v>0.347724621164704</v>
      </c>
      <c r="AF239" s="36" t="n">
        <f aca="false">SQRT(1-AE239*AE239)</f>
        <v>0.93759670852444</v>
      </c>
      <c r="AG239" s="35" t="n">
        <f aca="false">ATAN(AE239/AF239)/$A$10</f>
        <v>20.3482057809965</v>
      </c>
      <c r="AH239" s="36" t="n">
        <f aca="false">IF(24*ATAN(AD239/(AA239+AF239))/PI()&gt;0,24*ATAN(AD239/(AA239+AF239))/PI(),24*ATAN(AD239/(AA239+AF239))/PI()+24)</f>
        <v>9.4398451621053</v>
      </c>
      <c r="AI239" s="63" t="n">
        <f aca="false">IF(M239-15*AH239&gt;0,M239-15*AH239,360+M239-15*AH239)</f>
        <v>207.630798472047</v>
      </c>
      <c r="AJ239" s="32" t="n">
        <f aca="false">0.950724+0.051818*COS(P239)+0.009531*COS(2*R239-P239)+0.007843*COS(2*R239)+0.002824*COS(2*P239)+0.000857*COS(2*R239+P239)+0.000533*COS(2*R239-Q239)*(1-0.002495*(J239-2415020)/36525)+0.000401*COS(2*R239-Q239-P239)*(1-0.002495*(J239-2415020)/36525)+0.00032*COS(P239-Q239)*(1-0.002495*(J239-2415020)/36525)-0.000271*COS(R239)</f>
        <v>0.910867461436338</v>
      </c>
      <c r="AK239" s="36" t="n">
        <f aca="false">ASIN(COS($A$10*$B$5)*COS($A$10*AG239)*COS($A$10*AI239)+SIN($A$10*$B$5)*SIN($A$10*AG239))/$A$10</f>
        <v>-15.5197512519172</v>
      </c>
      <c r="AL239" s="32" t="n">
        <f aca="false">ASIN((0.9983271+0.0016764*COS($A$10*2*$B$5))*COS($A$10*AK239)*SIN($A$10*AJ239))/$A$10</f>
        <v>0.875929164855154</v>
      </c>
      <c r="AM239" s="32" t="n">
        <f aca="false">AK239-AL239</f>
        <v>-16.3956804167724</v>
      </c>
      <c r="AN239" s="35" t="n">
        <f aca="false"> MOD(280.4664567 + 360007.6982779*L239/10 + 0.03032028*L239^2/100 + L239^3/49931000,360)</f>
        <v>154.23425871206</v>
      </c>
      <c r="AO239" s="32" t="n">
        <f aca="false"> AN239 + (1.9146 - 0.004817*L239 - 0.000014*L239^2)*SIN(Q239)+ (0.019993 - 0.000101*L239)*SIN(2*Q239)+ 0.00029*SIN(3*Q239)</f>
        <v>152.768572556551</v>
      </c>
      <c r="AP239" s="32" t="n">
        <f aca="false">ACOS(COS(W239-$A$10*AO239)*COS(Y239))/$A$10</f>
        <v>16.027134586646</v>
      </c>
      <c r="AQ239" s="34" t="n">
        <f aca="false">180 - AP239 -0.1468*(1-0.0549*SIN(Q239))*SIN($A$10*AP239)/(1-0.0167*SIN($A$10*AO239))</f>
        <v>163.930282675464</v>
      </c>
      <c r="AR239" s="64" t="n">
        <f aca="false">SIN($A$10*AI239)</f>
        <v>-0.46377233337586</v>
      </c>
      <c r="AS239" s="64" t="n">
        <f aca="false">COS($A$10*AI239)*SIN($A$10*$B$5) - TAN($A$10*AG239)*COS($A$10*$B$5)</f>
        <v>-0.9170698140197</v>
      </c>
      <c r="AT239" s="24" t="n">
        <f aca="false">IF(OR(AND(AR239*AS239&gt;0), AND(AR239&lt;0,AS239&gt;0)), MOD(ATAN2(AS239,AR239)/$A$10+360,360),  ATAN2(AS239,AR239)/$A$10)</f>
        <v>206.82622771722</v>
      </c>
      <c r="AU239" s="39" t="n">
        <f aca="false"> 385000.56 + (-20905355*COS(P239) - 3699111*COS(2*R239-P239) - 2955968*COS(2*R239) - 569925*COS(2*P239) + (1-0.002516*L239)*48888*COS(Q239) - 3149*COS(2*S239)  +246158*COS(2*R239-2*P239) -(1 - 0.002516*L239)*152138*COS(2*R239-Q239-P239) -170733*COS(2*R239+P239) -(1 - 0.002516*L239)*204586*COS(2*R239-Q239) -(1 - 0.002516*L239)*129620*COS(Q239-P239)  + 108743*COS(R239) +(1-0.002516*L239)*104755*COS(Q239+P239) +10321*COS(2*R239-2*S239) +79661*COS(P239-2*S239) -34782*COS(4*R239-P239) -23210*COS(3*P239)  -21636*COS(4*R239-2*P239) +(1 - 0.002516*L239)*24208*COS(2*R239+Q239-P239) +(1 - 0.002516*L239)*30824*COS(2*R239+Q239) -8379*COS(R239-P239) -(1 - 0.002516*L239)*16675*COS(R239+Q239)  -(1 - 0.002516*L239)*12831*COS(2*R239-Q239+P239) -10445*COS(2*R239+2*P239) -11650*COS(4*R239) +14403*COS(2*R239-3*P239) -(1-0.002516*L239)*7003*COS(Q239-2*P239)  + (1 - 0.002516*L239)*10056*COS(2*R239-Q239-2*P239) +6322*COS(R239+P239) -(1 - 0.002516*L239)*(1-0.002516*L239)*9884*COS(2*R239-2*Q239) +(1-0.002516*L239)*5751*COS(Q239+2*P239) - (1-0.002516*L239)^2*4950*COS(2*R239-2*Q239-P239)  +4130*COS(2*R239+P239-2*S239) -(1-0.002516*L239)*3958*COS(4*R239-Q239-P239) +3258*COS(3*R239-P239) +(1 - 0.002516*L239)*2616*COS(2*R239+Q239+P239) -(1 - 0.002516*L239)*1897*COS(4*R239-Q239-2*P239)  -(1-0.002516*L239)^2*2117*COS(2*Q239-P239) +(1-0.002516*L239)^2*2354*COS(2*R239+2*Q239-P239) -1423*COS(4*R239+P239) -1117*COS(4*P239) -(1-0.002516*L239)*1571*COS(4*R239-Q239)  -1739*COS(R239-2*P239) -4421*COS(2*P239-2*S239) +(1-0.002516*L239)^2*1165*COS(2*Q239+P239) +8752*COS(2*R239-P239-2*S239))/1000</f>
        <v>401246.584109994</v>
      </c>
      <c r="AV239" s="54" t="n">
        <f aca="false">ATAN(0.99664719*TAN($A$10*input!$E$2))</f>
        <v>0.871010436227447</v>
      </c>
      <c r="AW239" s="54" t="n">
        <f aca="false">COS(AV239)</f>
        <v>0.644053912545845</v>
      </c>
      <c r="AX239" s="54" t="n">
        <f aca="false">0.99664719*SIN(AV239)</f>
        <v>0.762415269897027</v>
      </c>
      <c r="AY239" s="54" t="n">
        <f aca="false">6378.14/AU239</f>
        <v>0.0158958113354345</v>
      </c>
      <c r="AZ239" s="55" t="n">
        <f aca="false">M239-15*AH239</f>
        <v>207.630798472047</v>
      </c>
      <c r="BA239" s="56" t="n">
        <f aca="false">COS($A$10*AG239)*SIN($A$10*AZ239)</f>
        <v>-0.434831413277906</v>
      </c>
      <c r="BB239" s="56" t="n">
        <f aca="false">COS($A$10*AG239)*COS($A$10*AZ239)-AW239*AY239</f>
        <v>-0.840905701481322</v>
      </c>
      <c r="BC239" s="56" t="n">
        <f aca="false">SIN($A$10*AG239)-AX239*AY239</f>
        <v>0.335605411875166</v>
      </c>
      <c r="BD239" s="57" t="n">
        <f aca="false">SQRT(BA239^2+BB239^2+BC239^2)</f>
        <v>1.00440616746262</v>
      </c>
      <c r="BE239" s="58" t="n">
        <f aca="false">AU239*BD239</f>
        <v>403014.543753388</v>
      </c>
    </row>
    <row r="240" customFormat="false" ht="15" hidden="false" customHeight="false" outlineLevel="0" collapsed="false">
      <c r="D240" s="41" t="n">
        <f aca="false">K240-INT(275*E240/9)+IF($A$8="common year",2,1)*INT((E240+9)/12)+30</f>
        <v>27</v>
      </c>
      <c r="E240" s="41" t="n">
        <f aca="false">IF(K240&lt;32,1,INT(9*(IF($A$8="common year",2,1)+K240)/275+0.98))</f>
        <v>8</v>
      </c>
      <c r="F240" s="42" t="n">
        <f aca="false">AM240</f>
        <v>-23.1472354442431</v>
      </c>
      <c r="G240" s="60" t="n">
        <f aca="false">F240+1.02/(TAN($A$10*(F240+10.3/(F240+5.11)))*60)</f>
        <v>-23.1859289852808</v>
      </c>
      <c r="H240" s="43" t="n">
        <f aca="false">100*(1+COS($A$10*AQ240))/2</f>
        <v>0.300663885014524</v>
      </c>
      <c r="I240" s="43" t="n">
        <f aca="false">IF(AI240&gt;180,AT240-180,AT240+180)</f>
        <v>17.2011751740043</v>
      </c>
      <c r="J240" s="61" t="n">
        <f aca="false">$J$2+K239</f>
        <v>2459818.5</v>
      </c>
      <c r="K240" s="21" t="n">
        <v>239</v>
      </c>
      <c r="L240" s="62" t="n">
        <f aca="false">(J240-2451545)/36525</f>
        <v>0.226516084873374</v>
      </c>
      <c r="M240" s="63" t="n">
        <f aca="false">MOD(280.46061837+360.98564736629*(J240-2451545)+0.000387933*L240^2-L240^3/38710000+$B$7,360)</f>
        <v>350.214123274665</v>
      </c>
      <c r="N240" s="30" t="n">
        <f aca="false">0.606433+1336.855225*L240 - INT(0.606433+1336.855225*L240)</f>
        <v>0.425644609514052</v>
      </c>
      <c r="O240" s="35" t="n">
        <f aca="false">22640*SIN(P240)-4586*SIN(P240-2*R240)+2370*SIN(2*R240)+769*SIN(2*P240)-668*SIN(Q240)-412*SIN(2*S240)-212*SIN(2*P240-2*R240)-206*SIN(P240+Q240-2*R240)+192*SIN(P240+2*R240)-165*SIN(Q240-2*R240)-125*SIN(R240)-110*SIN(P240+Q240)+148*SIN(P240-Q240)-55*SIN(2*S240-2*R240)</f>
        <v>-12390.2309542299</v>
      </c>
      <c r="P240" s="32" t="n">
        <f aca="false">2*PI()*(0.374897+1325.55241*L240 - INT(0.374897+1325.55241*L240))</f>
        <v>3.98252919672118</v>
      </c>
      <c r="Q240" s="36" t="n">
        <f aca="false">2*PI()*(0.993133+99.997361*L240 - INT(0.993133+99.997361*L240))</f>
        <v>4.04727430311439</v>
      </c>
      <c r="R240" s="36" t="n">
        <f aca="false">2*PI()*(0.827361+1236.853086*L240 - INT(0.827361+1236.853086*L240))</f>
        <v>6.24849963784581</v>
      </c>
      <c r="S240" s="36" t="n">
        <f aca="false">2*PI()*(0.259086+1342.227825*L240 - INT(0.259086+1342.227825*L240))</f>
        <v>1.85528593311891</v>
      </c>
      <c r="T240" s="36" t="n">
        <f aca="false">S240+(O240+412*SIN(2*S240)+541*SIN(Q240))/206264.8062</f>
        <v>1.79207646416238</v>
      </c>
      <c r="U240" s="36" t="n">
        <f aca="false">S240-2*R240</f>
        <v>-10.6417133425727</v>
      </c>
      <c r="V240" s="34" t="n">
        <f aca="false">-526*SIN(U240)+44*SIN(P240+U240)-31*SIN(-P240+U240)-23*SIN(Q240+U240)+11*SIN(-Q240+U240)-25*SIN(-2*P240+S240)+21*SIN(-P240+S240)</f>
        <v>-506.640986301341</v>
      </c>
      <c r="W240" s="36" t="n">
        <f aca="false">2*PI()*(N240+O240/1296000-INT(N240+O240/1296000))</f>
        <v>2.61433442179171</v>
      </c>
      <c r="X240" s="35" t="n">
        <f aca="false">W240*180/PI()</f>
        <v>149.790328604439</v>
      </c>
      <c r="Y240" s="36" t="n">
        <f aca="false">(18520*SIN(T240)+V240)/206264.8062</f>
        <v>0.0851419661542307</v>
      </c>
      <c r="Z240" s="36" t="n">
        <f aca="false">Y240*180/PI()</f>
        <v>4.87827532008312</v>
      </c>
      <c r="AA240" s="36" t="n">
        <f aca="false">COS(Y240)*COS(W240)</f>
        <v>-0.861059449861114</v>
      </c>
      <c r="AB240" s="36" t="n">
        <f aca="false">COS(Y240)*SIN(W240)</f>
        <v>0.501343165136076</v>
      </c>
      <c r="AC240" s="36" t="n">
        <f aca="false">SIN(Y240)</f>
        <v>0.0850391355566147</v>
      </c>
      <c r="AD240" s="36" t="n">
        <f aca="false">COS($A$10*(23.4393-46.815*L240/3600))*AB240-SIN($A$10*(23.4393-46.815*L240/3600))*AC240</f>
        <v>0.426160955672473</v>
      </c>
      <c r="AE240" s="36" t="n">
        <f aca="false">SIN($A$10*(23.4393-46.815*L240/3600))*AB240+COS($A$10*(23.4393-46.815*L240/3600))*AC240</f>
        <v>0.277422896793326</v>
      </c>
      <c r="AF240" s="36" t="n">
        <f aca="false">SQRT(1-AE240*AE240)</f>
        <v>0.960747904673645</v>
      </c>
      <c r="AG240" s="35" t="n">
        <f aca="false">ATAN(AE240/AF240)/$A$10</f>
        <v>16.106455173406</v>
      </c>
      <c r="AH240" s="36" t="n">
        <f aca="false">IF(24*ATAN(AD240/(AA240+AF240))/PI()&gt;0,24*ATAN(AD240/(AA240+AF240))/PI(),24*ATAN(AD240/(AA240+AF240))/PI()+24)</f>
        <v>10.2445321593972</v>
      </c>
      <c r="AI240" s="63" t="n">
        <f aca="false">IF(M240-15*AH240&gt;0,M240-15*AH240,360+M240-15*AH240)</f>
        <v>196.546140883708</v>
      </c>
      <c r="AJ240" s="32" t="n">
        <f aca="false">0.950724+0.051818*COS(P240)+0.009531*COS(2*R240-P240)+0.007843*COS(2*R240)+0.002824*COS(2*P240)+0.000857*COS(2*R240+P240)+0.000533*COS(2*R240-Q240)*(1-0.002495*(J240-2415020)/36525)+0.000401*COS(2*R240-Q240-P240)*(1-0.002495*(J240-2415020)/36525)+0.00032*COS(P240-Q240)*(1-0.002495*(J240-2415020)/36525)-0.000271*COS(R240)</f>
        <v>0.916875363867375</v>
      </c>
      <c r="AK240" s="36" t="n">
        <f aca="false">ASIN(COS($A$10*$B$5)*COS($A$10*AG240)*COS($A$10*AI240)+SIN($A$10*$B$5)*SIN($A$10*AG240))/$A$10</f>
        <v>-22.3006085282805</v>
      </c>
      <c r="AL240" s="32" t="n">
        <f aca="false">ASIN((0.9983271+0.0016764*COS($A$10*2*$B$5))*COS($A$10*AK240)*SIN($A$10*AJ240))/$A$10</f>
        <v>0.846626915962597</v>
      </c>
      <c r="AM240" s="32" t="n">
        <f aca="false">AK240-AL240</f>
        <v>-23.1472354442431</v>
      </c>
      <c r="AN240" s="35" t="n">
        <f aca="false"> MOD(280.4664567 + 360007.6982779*L240/10 + 0.03032028*L240^2/100 + L240^3/49931000,360)</f>
        <v>155.219906075925</v>
      </c>
      <c r="AO240" s="32" t="n">
        <f aca="false"> AN240 + (1.9146 - 0.004817*L240 - 0.000014*L240^2)*SIN(Q240)+ (0.019993 - 0.000101*L240)*SIN(2*Q240)+ 0.00029*SIN(3*Q240)</f>
        <v>153.733545395847</v>
      </c>
      <c r="AP240" s="32" t="n">
        <f aca="false">ACOS(COS(W240-$A$10*AO240)*COS(Y240))/$A$10</f>
        <v>6.26968312372264</v>
      </c>
      <c r="AQ240" s="34" t="n">
        <f aca="false">180 - AP240 -0.1468*(1-0.0549*SIN(Q240))*SIN($A$10*AP240)/(1-0.0167*SIN($A$10*AO240))</f>
        <v>173.713468028273</v>
      </c>
      <c r="AR240" s="64" t="n">
        <f aca="false">SIN($A$10*AI240)</f>
        <v>-0.284787399972123</v>
      </c>
      <c r="AS240" s="64" t="n">
        <f aca="false">COS($A$10*AI240)*SIN($A$10*$B$5) - TAN($A$10*AG240)*COS($A$10*$B$5)</f>
        <v>-0.919932646676527</v>
      </c>
      <c r="AT240" s="24" t="n">
        <f aca="false">IF(OR(AND(AR240*AS240&gt;0), AND(AR240&lt;0,AS240&gt;0)), MOD(ATAN2(AS240,AR240)/$A$10+360,360),  ATAN2(AS240,AR240)/$A$10)</f>
        <v>197.201175174004</v>
      </c>
      <c r="AU240" s="39" t="n">
        <f aca="false"> 385000.56 + (-20905355*COS(P240) - 3699111*COS(2*R240-P240) - 2955968*COS(2*R240) - 569925*COS(2*P240) + (1-0.002516*L240)*48888*COS(Q240) - 3149*COS(2*S240)  +246158*COS(2*R240-2*P240) -(1 - 0.002516*L240)*152138*COS(2*R240-Q240-P240) -170733*COS(2*R240+P240) -(1 - 0.002516*L240)*204586*COS(2*R240-Q240) -(1 - 0.002516*L240)*129620*COS(Q240-P240)  + 108743*COS(R240) +(1-0.002516*L240)*104755*COS(Q240+P240) +10321*COS(2*R240-2*S240) +79661*COS(P240-2*S240) -34782*COS(4*R240-P240) -23210*COS(3*P240)  -21636*COS(4*R240-2*P240) +(1 - 0.002516*L240)*24208*COS(2*R240+Q240-P240) +(1 - 0.002516*L240)*30824*COS(2*R240+Q240) -8379*COS(R240-P240) -(1 - 0.002516*L240)*16675*COS(R240+Q240)  -(1 - 0.002516*L240)*12831*COS(2*R240-Q240+P240) -10445*COS(2*R240+2*P240) -11650*COS(4*R240) +14403*COS(2*R240-3*P240) -(1-0.002516*L240)*7003*COS(Q240-2*P240)  + (1 - 0.002516*L240)*10056*COS(2*R240-Q240-2*P240) +6322*COS(R240+P240) -(1 - 0.002516*L240)*(1-0.002516*L240)*9884*COS(2*R240-2*Q240) +(1-0.002516*L240)*5751*COS(Q240+2*P240) - (1-0.002516*L240)^2*4950*COS(2*R240-2*Q240-P240)  +4130*COS(2*R240+P240-2*S240) -(1-0.002516*L240)*3958*COS(4*R240-Q240-P240) +3258*COS(3*R240-P240) +(1 - 0.002516*L240)*2616*COS(2*R240+Q240+P240) -(1 - 0.002516*L240)*1897*COS(4*R240-Q240-2*P240)  -(1-0.002516*L240)^2*2117*COS(2*Q240-P240) +(1-0.002516*L240)^2*2354*COS(2*R240+2*Q240-P240) -1423*COS(4*R240+P240) -1117*COS(4*P240) -(1-0.002516*L240)*1571*COS(4*R240-Q240)  -1739*COS(R240-2*P240) -4421*COS(2*P240-2*S240) +(1-0.002516*L240)^2*1165*COS(2*Q240+P240) +8752*COS(2*R240-P240-2*S240))/1000</f>
        <v>398590.059587504</v>
      </c>
      <c r="AV240" s="54" t="n">
        <f aca="false">ATAN(0.99664719*TAN($A$10*input!$E$2))</f>
        <v>0.871010436227447</v>
      </c>
      <c r="AW240" s="54" t="n">
        <f aca="false">COS(AV240)</f>
        <v>0.644053912545845</v>
      </c>
      <c r="AX240" s="54" t="n">
        <f aca="false">0.99664719*SIN(AV240)</f>
        <v>0.762415269897027</v>
      </c>
      <c r="AY240" s="54" t="n">
        <f aca="false">6378.14/AU240</f>
        <v>0.0160017537983778</v>
      </c>
      <c r="AZ240" s="55" t="n">
        <f aca="false">M240-15*AH240</f>
        <v>196.546140883708</v>
      </c>
      <c r="BA240" s="56" t="n">
        <f aca="false">COS($A$10*AG240)*SIN($A$10*AZ240)</f>
        <v>-0.273608897800673</v>
      </c>
      <c r="BB240" s="56" t="n">
        <f aca="false">COS($A$10*AG240)*COS($A$10*AZ240)-AW240*AY240</f>
        <v>-0.931270001958926</v>
      </c>
      <c r="BC240" s="56" t="n">
        <f aca="false">SIN($A$10*AG240)-AX240*AY240</f>
        <v>0.26522291535231</v>
      </c>
      <c r="BD240" s="57" t="n">
        <f aca="false">SQRT(BA240^2+BB240^2+BC240^2)</f>
        <v>1.00621510639239</v>
      </c>
      <c r="BE240" s="58" t="n">
        <f aca="false">AU240*BD240</f>
        <v>401067.339214791</v>
      </c>
    </row>
    <row r="241" customFormat="false" ht="15" hidden="false" customHeight="false" outlineLevel="0" collapsed="false">
      <c r="D241" s="41" t="n">
        <f aca="false">K241-INT(275*E241/9)+IF($A$8="common year",2,1)*INT((E241+9)/12)+30</f>
        <v>28</v>
      </c>
      <c r="E241" s="41" t="n">
        <f aca="false">IF(K241&lt;32,1,INT(9*(IF($A$8="common year",2,1)+K241)/275+0.98))</f>
        <v>8</v>
      </c>
      <c r="F241" s="42" t="n">
        <f aca="false">AM241</f>
        <v>-29.4546387231799</v>
      </c>
      <c r="G241" s="60" t="n">
        <f aca="false">F241+1.02/(TAN($A$10*(F241+10.3/(F241+5.11)))*60)</f>
        <v>-29.4842292386573</v>
      </c>
      <c r="H241" s="43" t="n">
        <f aca="false">100*(1+COS($A$10*AQ241))/2</f>
        <v>0.587116369923985</v>
      </c>
      <c r="I241" s="43" t="n">
        <f aca="false">IF(AI241&gt;180,AT241-180,AT241+180)</f>
        <v>6.53187918562955</v>
      </c>
      <c r="J241" s="61" t="n">
        <f aca="false">$J$2+K240</f>
        <v>2459819.5</v>
      </c>
      <c r="K241" s="21" t="n">
        <v>240</v>
      </c>
      <c r="L241" s="62" t="n">
        <f aca="false">(J241-2451545)/36525</f>
        <v>0.226543463381246</v>
      </c>
      <c r="M241" s="63" t="n">
        <f aca="false">MOD(280.46061837+360.98564736629*(J241-2451545)+0.000387933*L241^2-L241^3/38710000+$B$7,360)</f>
        <v>351.199770645704</v>
      </c>
      <c r="N241" s="30" t="n">
        <f aca="false">0.606433+1336.855225*L241 - INT(0.606433+1336.855225*L241)</f>
        <v>0.4622457108145</v>
      </c>
      <c r="O241" s="35" t="n">
        <f aca="false">22640*SIN(P241)-4586*SIN(P241-2*R241)+2370*SIN(2*R241)+769*SIN(2*P241)-668*SIN(Q241)-412*SIN(2*S241)-212*SIN(2*P241-2*R241)-206*SIN(P241+Q241-2*R241)+192*SIN(P241+2*R241)-165*SIN(Q241-2*R241)-125*SIN(R241)-110*SIN(P241+Q241)+148*SIN(P241-Q241)-55*SIN(2*S241-2*R241)</f>
        <v>-15069.4197882351</v>
      </c>
      <c r="P241" s="32" t="n">
        <f aca="false">2*PI()*(0.374897+1325.55241*L241 - INT(0.374897+1325.55241*L241))</f>
        <v>4.210556340497</v>
      </c>
      <c r="Q241" s="36" t="n">
        <f aca="false">2*PI()*(0.993133+99.997361*L241 - INT(0.993133+99.997361*L241))</f>
        <v>4.06447627298137</v>
      </c>
      <c r="R241" s="36" t="n">
        <f aca="false">2*PI()*(0.827361+1236.853086*L241 - INT(0.827361+1236.853086*L241))</f>
        <v>0.178083040785243</v>
      </c>
      <c r="S241" s="36" t="n">
        <f aca="false">2*PI()*(0.259086+1342.227825*L241 - INT(0.259086+1342.227825*L241))</f>
        <v>2.08618165245992</v>
      </c>
      <c r="T241" s="36" t="n">
        <f aca="false">S241+(O241+412*SIN(2*S241)+541*SIN(Q241))/206264.8062</f>
        <v>2.00931854427214</v>
      </c>
      <c r="U241" s="36" t="n">
        <f aca="false">S241-2*R241</f>
        <v>1.73001557088943</v>
      </c>
      <c r="V241" s="34" t="n">
        <f aca="false">-526*SIN(U241)+44*SIN(P241+U241)-31*SIN(-P241+U241)-23*SIN(Q241+U241)+11*SIN(-Q241+U241)-25*SIN(-2*P241+S241)+21*SIN(-P241+S241)</f>
        <v>-528.814296265463</v>
      </c>
      <c r="W241" s="36" t="n">
        <f aca="false">2*PI()*(N241+O241/1296000-INT(N241+O241/1296000))</f>
        <v>2.83131684969926</v>
      </c>
      <c r="X241" s="35" t="n">
        <f aca="false">W241*180/PI()</f>
        <v>162.222505952044</v>
      </c>
      <c r="Y241" s="36" t="n">
        <f aca="false">(18520*SIN(T241)+V241)/206264.8062</f>
        <v>0.0787280479073942</v>
      </c>
      <c r="Z241" s="36" t="n">
        <f aca="false">Y241*180/PI()</f>
        <v>4.51078487439744</v>
      </c>
      <c r="AA241" s="36" t="n">
        <f aca="false">COS(Y241)*COS(W241)</f>
        <v>-0.949299850119949</v>
      </c>
      <c r="AB241" s="36" t="n">
        <f aca="false">COS(Y241)*SIN(W241)</f>
        <v>0.304375564001138</v>
      </c>
      <c r="AC241" s="36" t="n">
        <f aca="false">SIN(Y241)</f>
        <v>0.0786467456493353</v>
      </c>
      <c r="AD241" s="36" t="n">
        <f aca="false">COS($A$10*(23.4393-46.815*L241/3600))*AB241-SIN($A$10*(23.4393-46.815*L241/3600))*AC241</f>
        <v>0.247985146438316</v>
      </c>
      <c r="AE241" s="36" t="n">
        <f aca="false">SIN($A$10*(23.4393-46.815*L241/3600))*AB241+COS($A$10*(23.4393-46.815*L241/3600))*AC241</f>
        <v>0.193217912493146</v>
      </c>
      <c r="AF241" s="36" t="n">
        <f aca="false">SQRT(1-AE241*AE241)</f>
        <v>0.981155868499899</v>
      </c>
      <c r="AG241" s="35" t="n">
        <f aca="false">ATAN(AE241/AF241)/$A$10</f>
        <v>11.1406377689505</v>
      </c>
      <c r="AH241" s="36" t="n">
        <f aca="false">IF(24*ATAN(AD241/(AA241+AF241))/PI()&gt;0,24*ATAN(AD241/(AA241+AF241))/PI(),24*ATAN(AD241/(AA241+AF241))/PI()+24)</f>
        <v>11.02398785206</v>
      </c>
      <c r="AI241" s="63" t="n">
        <f aca="false">IF(M241-15*AH241&gt;0,M241-15*AH241,360+M241-15*AH241)</f>
        <v>185.839952864805</v>
      </c>
      <c r="AJ241" s="32" t="n">
        <f aca="false">0.950724+0.051818*COS(P241)+0.009531*COS(2*R241-P241)+0.007843*COS(2*R241)+0.002824*COS(2*P241)+0.000857*COS(2*R241+P241)+0.000533*COS(2*R241-Q241)*(1-0.002495*(J241-2415020)/36525)+0.000401*COS(2*R241-Q241-P241)*(1-0.002495*(J241-2415020)/36525)+0.00032*COS(P241-Q241)*(1-0.002495*(J241-2415020)/36525)-0.000271*COS(R241)</f>
        <v>0.923871269968142</v>
      </c>
      <c r="AK241" s="36" t="n">
        <f aca="false">ASIN(COS($A$10*$B$5)*COS($A$10*AG241)*COS($A$10*AI241)+SIN($A$10*$B$5)*SIN($A$10*AG241))/$A$10</f>
        <v>-28.6454470889304</v>
      </c>
      <c r="AL241" s="32" t="n">
        <f aca="false">ASIN((0.9983271+0.0016764*COS($A$10*2*$B$5))*COS($A$10*AK241)*SIN($A$10*AJ241))/$A$10</f>
        <v>0.809191634249503</v>
      </c>
      <c r="AM241" s="32" t="n">
        <f aca="false">AK241-AL241</f>
        <v>-29.4546387231799</v>
      </c>
      <c r="AN241" s="35" t="n">
        <f aca="false"> MOD(280.4664567 + 360007.6982779*L241/10 + 0.03032028*L241^2/100 + L241^3/49931000,360)</f>
        <v>156.205553439788</v>
      </c>
      <c r="AO241" s="32" t="n">
        <f aca="false"> AN241 + (1.9146 - 0.004817*L241 - 0.000014*L241^2)*SIN(Q241)+ (0.019993 - 0.000101*L241)*SIN(2*Q241)+ 0.00029*SIN(3*Q241)</f>
        <v>154.698941120214</v>
      </c>
      <c r="AP241" s="32" t="n">
        <f aca="false">ACOS(COS(W241-$A$10*AO241)*COS(Y241))/$A$10</f>
        <v>8.76550507424464</v>
      </c>
      <c r="AQ241" s="34" t="n">
        <f aca="false">180 - AP241 -0.1468*(1-0.0549*SIN(Q241))*SIN($A$10*AP241)/(1-0.0167*SIN($A$10*AO241))</f>
        <v>171.210976824454</v>
      </c>
      <c r="AR241" s="64" t="n">
        <f aca="false">SIN($A$10*AI241)</f>
        <v>-0.101750011866377</v>
      </c>
      <c r="AS241" s="64" t="n">
        <f aca="false">COS($A$10*AI241)*SIN($A$10*$B$5) - TAN($A$10*AG241)*COS($A$10*$B$5)</f>
        <v>-0.888652107083723</v>
      </c>
      <c r="AT241" s="24" t="n">
        <f aca="false">IF(OR(AND(AR241*AS241&gt;0), AND(AR241&lt;0,AS241&gt;0)), MOD(ATAN2(AS241,AR241)/$A$10+360,360),  ATAN2(AS241,AR241)/$A$10)</f>
        <v>186.53187918563</v>
      </c>
      <c r="AU241" s="39" t="n">
        <f aca="false"> 385000.56 + (-20905355*COS(P241) - 3699111*COS(2*R241-P241) - 2955968*COS(2*R241) - 569925*COS(2*P241) + (1-0.002516*L241)*48888*COS(Q241) - 3149*COS(2*S241)  +246158*COS(2*R241-2*P241) -(1 - 0.002516*L241)*152138*COS(2*R241-Q241-P241) -170733*COS(2*R241+P241) -(1 - 0.002516*L241)*204586*COS(2*R241-Q241) -(1 - 0.002516*L241)*129620*COS(Q241-P241)  + 108743*COS(R241) +(1-0.002516*L241)*104755*COS(Q241+P241) +10321*COS(2*R241-2*S241) +79661*COS(P241-2*S241) -34782*COS(4*R241-P241) -23210*COS(3*P241)  -21636*COS(4*R241-2*P241) +(1 - 0.002516*L241)*24208*COS(2*R241+Q241-P241) +(1 - 0.002516*L241)*30824*COS(2*R241+Q241) -8379*COS(R241-P241) -(1 - 0.002516*L241)*16675*COS(R241+Q241)  -(1 - 0.002516*L241)*12831*COS(2*R241-Q241+P241) -10445*COS(2*R241+2*P241) -11650*COS(4*R241) +14403*COS(2*R241-3*P241) -(1-0.002516*L241)*7003*COS(Q241-2*P241)  + (1 - 0.002516*L241)*10056*COS(2*R241-Q241-2*P241) +6322*COS(R241+P241) -(1 - 0.002516*L241)*(1-0.002516*L241)*9884*COS(2*R241-2*Q241) +(1-0.002516*L241)*5751*COS(Q241+2*P241) - (1-0.002516*L241)^2*4950*COS(2*R241-2*Q241-P241)  +4130*COS(2*R241+P241-2*S241) -(1-0.002516*L241)*3958*COS(4*R241-Q241-P241) +3258*COS(3*R241-P241) +(1 - 0.002516*L241)*2616*COS(2*R241+Q241+P241) -(1 - 0.002516*L241)*1897*COS(4*R241-Q241-2*P241)  -(1-0.002516*L241)^2*2117*COS(2*Q241-P241) +(1-0.002516*L241)^2*2354*COS(2*R241+2*Q241-P241) -1423*COS(4*R241+P241) -1117*COS(4*P241) -(1-0.002516*L241)*1571*COS(4*R241-Q241)  -1739*COS(R241-2*P241) -4421*COS(2*P241-2*S241) +(1-0.002516*L241)^2*1165*COS(2*Q241+P241) +8752*COS(2*R241-P241-2*S241))/1000</f>
        <v>395573.81111952</v>
      </c>
      <c r="AV241" s="54" t="n">
        <f aca="false">ATAN(0.99664719*TAN($A$10*input!$E$2))</f>
        <v>0.871010436227447</v>
      </c>
      <c r="AW241" s="54" t="n">
        <f aca="false">COS(AV241)</f>
        <v>0.644053912545845</v>
      </c>
      <c r="AX241" s="54" t="n">
        <f aca="false">0.99664719*SIN(AV241)</f>
        <v>0.762415269897027</v>
      </c>
      <c r="AY241" s="54" t="n">
        <f aca="false">6378.14/AU241</f>
        <v>0.0161237670965859</v>
      </c>
      <c r="AZ241" s="55" t="n">
        <f aca="false">M241-15*AH241</f>
        <v>185.839952864805</v>
      </c>
      <c r="BA241" s="56" t="n">
        <f aca="false">COS($A$10*AG241)*SIN($A$10*AZ241)</f>
        <v>-0.0998326212626306</v>
      </c>
      <c r="BB241" s="56" t="n">
        <f aca="false">COS($A$10*AG241)*COS($A$10*AZ241)-AW241*AY241</f>
        <v>-0.986448244325479</v>
      </c>
      <c r="BC241" s="56" t="n">
        <f aca="false">SIN($A$10*AG241)-AX241*AY241</f>
        <v>0.180924906250446</v>
      </c>
      <c r="BD241" s="57" t="n">
        <f aca="false">SQRT(BA241^2+BB241^2+BC241^2)</f>
        <v>1.00785937149124</v>
      </c>
      <c r="BE241" s="58" t="n">
        <f aca="false">AU241*BD241</f>
        <v>398682.772653315</v>
      </c>
    </row>
    <row r="242" customFormat="false" ht="15" hidden="false" customHeight="false" outlineLevel="0" collapsed="false">
      <c r="D242" s="41" t="n">
        <f aca="false">K242-INT(275*E242/9)+IF($A$8="common year",2,1)*INT((E242+9)/12)+30</f>
        <v>29</v>
      </c>
      <c r="E242" s="41" t="n">
        <f aca="false">IF(K242&lt;32,1,INT(9*(IF($A$8="common year",2,1)+K242)/275+0.98))</f>
        <v>8</v>
      </c>
      <c r="F242" s="42" t="n">
        <f aca="false">AM242</f>
        <v>-34.9746009331567</v>
      </c>
      <c r="G242" s="60" t="n">
        <f aca="false">F242+1.02/(TAN($A$10*(F242+10.3/(F242+5.11)))*60)</f>
        <v>-34.9985935837726</v>
      </c>
      <c r="H242" s="43" t="n">
        <f aca="false">100*(1+COS($A$10*AQ242))/2</f>
        <v>2.8968769982565</v>
      </c>
      <c r="I242" s="43" t="n">
        <f aca="false">IF(AI242&gt;180,AT242-180,AT242+180)</f>
        <v>354.427064430384</v>
      </c>
      <c r="J242" s="61" t="n">
        <f aca="false">$J$2+K241</f>
        <v>2459820.5</v>
      </c>
      <c r="K242" s="21" t="n">
        <v>241</v>
      </c>
      <c r="L242" s="62" t="n">
        <f aca="false">(J242-2451545)/36525</f>
        <v>0.226570841889117</v>
      </c>
      <c r="M242" s="63" t="n">
        <f aca="false">MOD(280.46061837+360.98564736629*(J242-2451545)+0.000387933*L242^2-L242^3/38710000+$B$7,360)</f>
        <v>352.185418016743</v>
      </c>
      <c r="N242" s="30" t="n">
        <f aca="false">0.606433+1336.855225*L242 - INT(0.606433+1336.855225*L242)</f>
        <v>0.498846812115005</v>
      </c>
      <c r="O242" s="35" t="n">
        <f aca="false">22640*SIN(P242)-4586*SIN(P242-2*R242)+2370*SIN(2*R242)+769*SIN(2*P242)-668*SIN(Q242)-412*SIN(2*S242)-212*SIN(2*P242-2*R242)-206*SIN(P242+Q242-2*R242)+192*SIN(P242+2*R242)-165*SIN(Q242-2*R242)-125*SIN(R242)-110*SIN(P242+Q242)+148*SIN(P242-Q242)-55*SIN(2*S242-2*R242)</f>
        <v>-17115.200886918</v>
      </c>
      <c r="P242" s="32" t="n">
        <f aca="false">2*PI()*(0.374897+1325.55241*L242 - INT(0.374897+1325.55241*L242))</f>
        <v>4.43858348427282</v>
      </c>
      <c r="Q242" s="36" t="n">
        <f aca="false">2*PI()*(0.993133+99.997361*L242 - INT(0.993133+99.997361*L242))</f>
        <v>4.08167824284838</v>
      </c>
      <c r="R242" s="36" t="n">
        <f aca="false">2*PI()*(0.827361+1236.853086*L242 - INT(0.827361+1236.853086*L242))</f>
        <v>0.390851750904267</v>
      </c>
      <c r="S242" s="36" t="n">
        <f aca="false">2*PI()*(0.259086+1342.227825*L242 - INT(0.259086+1342.227825*L242))</f>
        <v>2.31707737180092</v>
      </c>
      <c r="T242" s="36" t="n">
        <f aca="false">S242+(O242+412*SIN(2*S242)+541*SIN(Q242))/206264.8062</f>
        <v>2.22999098387944</v>
      </c>
      <c r="U242" s="36" t="n">
        <f aca="false">S242-2*R242</f>
        <v>1.53537386999239</v>
      </c>
      <c r="V242" s="34" t="n">
        <f aca="false">-526*SIN(U242)+44*SIN(P242+U242)-31*SIN(-P242+U242)-23*SIN(Q242+U242)+11*SIN(-Q242+U242)-25*SIN(-2*P242+S242)+21*SIN(-P242+S242)</f>
        <v>-534.756279074732</v>
      </c>
      <c r="W242" s="36" t="n">
        <f aca="false">2*PI()*(N242+O242/1296000-INT(N242+O242/1296000))</f>
        <v>3.05137012496522</v>
      </c>
      <c r="X242" s="35" t="n">
        <f aca="false">W242*180/PI()</f>
        <v>174.830629892813</v>
      </c>
      <c r="Y242" s="36" t="n">
        <f aca="false">(18520*SIN(T242)+V242)/206264.8062</f>
        <v>0.0683831622575245</v>
      </c>
      <c r="Z242" s="36" t="n">
        <f aca="false">Y242*180/PI()</f>
        <v>3.91806658711446</v>
      </c>
      <c r="AA242" s="36" t="n">
        <f aca="false">COS(Y242)*COS(W242)</f>
        <v>-0.993604996507789</v>
      </c>
      <c r="AB242" s="36" t="n">
        <f aca="false">COS(Y242)*SIN(W242)</f>
        <v>0.0898895912622589</v>
      </c>
      <c r="AC242" s="36" t="n">
        <f aca="false">SIN(Y242)</f>
        <v>0.0683298785119736</v>
      </c>
      <c r="AD242" s="36" t="n">
        <f aca="false">COS($A$10*(23.4393-46.815*L242/3600))*AB242-SIN($A$10*(23.4393-46.815*L242/3600))*AC242</f>
        <v>0.0552970700040805</v>
      </c>
      <c r="AE242" s="36" t="n">
        <f aca="false">SIN($A$10*(23.4393-46.815*L242/3600))*AB242+COS($A$10*(23.4393-46.815*L242/3600))*AC242</f>
        <v>0.0984446289226632</v>
      </c>
      <c r="AF242" s="36" t="n">
        <f aca="false">SQRT(1-AE242*AE242)</f>
        <v>0.995142530010792</v>
      </c>
      <c r="AG242" s="35" t="n">
        <f aca="false">ATAN(AE242/AF242)/$A$10</f>
        <v>5.64961232615479</v>
      </c>
      <c r="AH242" s="36" t="n">
        <f aca="false">IF(24*ATAN(AD242/(AA242+AF242))/PI()&gt;0,24*ATAN(AD242/(AA242+AF242))/PI(),24*ATAN(AD242/(AA242+AF242))/PI()+24)</f>
        <v>11.7876403728777</v>
      </c>
      <c r="AI242" s="63" t="n">
        <f aca="false">IF(M242-15*AH242&gt;0,M242-15*AH242,360+M242-15*AH242)</f>
        <v>175.370812423577</v>
      </c>
      <c r="AJ242" s="32" t="n">
        <f aca="false">0.950724+0.051818*COS(P242)+0.009531*COS(2*R242-P242)+0.007843*COS(2*R242)+0.002824*COS(2*P242)+0.000857*COS(2*R242+P242)+0.000533*COS(2*R242-Q242)*(1-0.002495*(J242-2415020)/36525)+0.000401*COS(2*R242-Q242-P242)*(1-0.002495*(J242-2415020)/36525)+0.00032*COS(P242-Q242)*(1-0.002495*(J242-2415020)/36525)-0.000271*COS(R242)</f>
        <v>0.931560864747783</v>
      </c>
      <c r="AK242" s="36" t="n">
        <f aca="false">ASIN(COS($A$10*$B$5)*COS($A$10*AG242)*COS($A$10*AI242)+SIN($A$10*$B$5)*SIN($A$10*AG242))/$A$10</f>
        <v>-34.2057010558064</v>
      </c>
      <c r="AL242" s="32" t="n">
        <f aca="false">ASIN((0.9983271+0.0016764*COS($A$10*2*$B$5))*COS($A$10*AK242)*SIN($A$10*AJ242))/$A$10</f>
        <v>0.76889987735035</v>
      </c>
      <c r="AM242" s="32" t="n">
        <f aca="false">AK242-AL242</f>
        <v>-34.9746009331567</v>
      </c>
      <c r="AN242" s="35" t="n">
        <f aca="false"> MOD(280.4664567 + 360007.6982779*L242/10 + 0.03032028*L242^2/100 + L242^3/49931000,360)</f>
        <v>157.191200803654</v>
      </c>
      <c r="AO242" s="32" t="n">
        <f aca="false"> AN242 + (1.9146 - 0.004817*L242 - 0.000014*L242^2)*SIN(Q242)+ (0.019993 - 0.000101*L242)*SIN(2*Q242)+ 0.00029*SIN(3*Q242)</f>
        <v>155.664765844891</v>
      </c>
      <c r="AP242" s="32" t="n">
        <f aca="false">ACOS(COS(W242-$A$10*AO242)*COS(Y242))/$A$10</f>
        <v>19.5474939963437</v>
      </c>
      <c r="AQ242" s="34" t="n">
        <f aca="false">180 - AP242 -0.1468*(1-0.0549*SIN(Q242))*SIN($A$10*AP242)/(1-0.0167*SIN($A$10*AO242))</f>
        <v>160.400855265535</v>
      </c>
      <c r="AR242" s="64" t="n">
        <f aca="false">SIN($A$10*AI242)</f>
        <v>0.0807066923085121</v>
      </c>
      <c r="AS242" s="64" t="n">
        <f aca="false">COS($A$10*AI242)*SIN($A$10*$B$5) - TAN($A$10*AG242)*COS($A$10*$B$5)</f>
        <v>-0.82713338898169</v>
      </c>
      <c r="AT242" s="24" t="n">
        <f aca="false">IF(OR(AND(AR242*AS242&gt;0), AND(AR242&lt;0,AS242&gt;0)), MOD(ATAN2(AS242,AR242)/$A$10+360,360),  ATAN2(AS242,AR242)/$A$10)</f>
        <v>174.427064430384</v>
      </c>
      <c r="AU242" s="39" t="n">
        <f aca="false"> 385000.56 + (-20905355*COS(P242) - 3699111*COS(2*R242-P242) - 2955968*COS(2*R242) - 569925*COS(2*P242) + (1-0.002516*L242)*48888*COS(Q242) - 3149*COS(2*S242)  +246158*COS(2*R242-2*P242) -(1 - 0.002516*L242)*152138*COS(2*R242-Q242-P242) -170733*COS(2*R242+P242) -(1 - 0.002516*L242)*204586*COS(2*R242-Q242) -(1 - 0.002516*L242)*129620*COS(Q242-P242)  + 108743*COS(R242) +(1-0.002516*L242)*104755*COS(Q242+P242) +10321*COS(2*R242-2*S242) +79661*COS(P242-2*S242) -34782*COS(4*R242-P242) -23210*COS(3*P242)  -21636*COS(4*R242-2*P242) +(1 - 0.002516*L242)*24208*COS(2*R242+Q242-P242) +(1 - 0.002516*L242)*30824*COS(2*R242+Q242) -8379*COS(R242-P242) -(1 - 0.002516*L242)*16675*COS(R242+Q242)  -(1 - 0.002516*L242)*12831*COS(2*R242-Q242+P242) -10445*COS(2*R242+2*P242) -11650*COS(4*R242) +14403*COS(2*R242-3*P242) -(1-0.002516*L242)*7003*COS(Q242-2*P242)  + (1 - 0.002516*L242)*10056*COS(2*R242-Q242-2*P242) +6322*COS(R242+P242) -(1 - 0.002516*L242)*(1-0.002516*L242)*9884*COS(2*R242-2*Q242) +(1-0.002516*L242)*5751*COS(Q242+2*P242) - (1-0.002516*L242)^2*4950*COS(2*R242-2*Q242-P242)  +4130*COS(2*R242+P242-2*S242) -(1-0.002516*L242)*3958*COS(4*R242-Q242-P242) +3258*COS(3*R242-P242) +(1 - 0.002516*L242)*2616*COS(2*R242+Q242+P242) -(1 - 0.002516*L242)*1897*COS(4*R242-Q242-2*P242)  -(1-0.002516*L242)^2*2117*COS(2*Q242-P242) +(1-0.002516*L242)^2*2354*COS(2*R242+2*Q242-P242) -1423*COS(4*R242+P242) -1117*COS(4*P242) -(1-0.002516*L242)*1571*COS(4*R242-Q242)  -1739*COS(R242-2*P242) -4421*COS(2*P242-2*S242) +(1-0.002516*L242)^2*1165*COS(2*Q242+P242) +8752*COS(2*R242-P242-2*S242))/1000</f>
        <v>392321.419874872</v>
      </c>
      <c r="AV242" s="54" t="n">
        <f aca="false">ATAN(0.99664719*TAN($A$10*input!$E$2))</f>
        <v>0.871010436227447</v>
      </c>
      <c r="AW242" s="54" t="n">
        <f aca="false">COS(AV242)</f>
        <v>0.644053912545845</v>
      </c>
      <c r="AX242" s="54" t="n">
        <f aca="false">0.99664719*SIN(AV242)</f>
        <v>0.762415269897027</v>
      </c>
      <c r="AY242" s="54" t="n">
        <f aca="false">6378.14/AU242</f>
        <v>0.0162574350440367</v>
      </c>
      <c r="AZ242" s="55" t="n">
        <f aca="false">M242-15*AH242</f>
        <v>175.370812423577</v>
      </c>
      <c r="BA242" s="56" t="n">
        <f aca="false">COS($A$10*AG242)*SIN($A$10*AZ242)</f>
        <v>0.0803146619726952</v>
      </c>
      <c r="BB242" s="56" t="n">
        <f aca="false">COS($A$10*AG242)*COS($A$10*AZ242)-AW242*AY242</f>
        <v>-1.00236693448101</v>
      </c>
      <c r="BC242" s="56" t="n">
        <f aca="false">SIN($A$10*AG242)-AX242*AY242</f>
        <v>0.0860497121957306</v>
      </c>
      <c r="BD242" s="57" t="n">
        <f aca="false">SQRT(BA242^2+BB242^2+BC242^2)</f>
        <v>1.00925441254305</v>
      </c>
      <c r="BE242" s="58" t="n">
        <f aca="false">AU242*BD242</f>
        <v>395952.124143868</v>
      </c>
    </row>
    <row r="243" customFormat="false" ht="15" hidden="false" customHeight="false" outlineLevel="0" collapsed="false">
      <c r="D243" s="41" t="n">
        <f aca="false">K243-INT(275*E243/9)+IF($A$8="common year",2,1)*INT((E243+9)/12)+30</f>
        <v>30</v>
      </c>
      <c r="E243" s="41" t="n">
        <f aca="false">IF(K243&lt;32,1,INT(9*(IF($A$8="common year",2,1)+K243)/275+0.98))</f>
        <v>8</v>
      </c>
      <c r="F243" s="42" t="n">
        <f aca="false">AM243</f>
        <v>-39.2557161317778</v>
      </c>
      <c r="G243" s="60" t="n">
        <f aca="false">F243+1.02/(TAN($A$10*(F243+10.3/(F243+5.11)))*60)</f>
        <v>-39.2762967641859</v>
      </c>
      <c r="H243" s="43" t="n">
        <f aca="false">100*(1+COS($A$10*AQ243))/2</f>
        <v>7.23609176614185</v>
      </c>
      <c r="I243" s="43" t="n">
        <f aca="false">IF(AI243&gt;180,AT243-180,AT243+180)</f>
        <v>340.60691568073</v>
      </c>
      <c r="J243" s="61" t="n">
        <f aca="false">$J$2+K242</f>
        <v>2459821.5</v>
      </c>
      <c r="K243" s="21" t="n">
        <v>242</v>
      </c>
      <c r="L243" s="62" t="n">
        <f aca="false">(J243-2451545)/36525</f>
        <v>0.226598220396988</v>
      </c>
      <c r="M243" s="63" t="n">
        <f aca="false">MOD(280.46061837+360.98564736629*(J243-2451545)+0.000387933*L243^2-L243^3/38710000+$B$7,360)</f>
        <v>353.171065387782</v>
      </c>
      <c r="N243" s="30" t="n">
        <f aca="false">0.606433+1336.855225*L243 - INT(0.606433+1336.855225*L243)</f>
        <v>0.535447913415453</v>
      </c>
      <c r="O243" s="35" t="n">
        <f aca="false">22640*SIN(P243)-4586*SIN(P243-2*R243)+2370*SIN(2*R243)+769*SIN(2*P243)-668*SIN(Q243)-412*SIN(2*S243)-212*SIN(2*P243-2*R243)-206*SIN(P243+Q243-2*R243)+192*SIN(P243+2*R243)-165*SIN(Q243-2*R243)-125*SIN(R243)-110*SIN(P243+Q243)+148*SIN(P243-Q243)-55*SIN(2*S243-2*R243)</f>
        <v>-18509.5862137204</v>
      </c>
      <c r="P243" s="32" t="n">
        <f aca="false">2*PI()*(0.374897+1325.55241*L243 - INT(0.374897+1325.55241*L243))</f>
        <v>4.66661062804828</v>
      </c>
      <c r="Q243" s="36" t="n">
        <f aca="false">2*PI()*(0.993133+99.997361*L243 - INT(0.993133+99.997361*L243))</f>
        <v>4.09888021271537</v>
      </c>
      <c r="R243" s="36" t="n">
        <f aca="false">2*PI()*(0.827361+1236.853086*L243 - INT(0.827361+1236.853086*L243))</f>
        <v>0.603620461022934</v>
      </c>
      <c r="S243" s="36" t="n">
        <f aca="false">2*PI()*(0.259086+1342.227825*L243 - INT(0.259086+1342.227825*L243))</f>
        <v>2.54797309114193</v>
      </c>
      <c r="T243" s="36" t="n">
        <f aca="false">S243+(O243+412*SIN(2*S243)+541*SIN(Q243))/206264.8062</f>
        <v>2.45423926529073</v>
      </c>
      <c r="U243" s="36" t="n">
        <f aca="false">S243-2*R243</f>
        <v>1.34073216909606</v>
      </c>
      <c r="V243" s="34" t="n">
        <f aca="false">-526*SIN(U243)+44*SIN(P243+U243)-31*SIN(-P243+U243)-23*SIN(Q243+U243)+11*SIN(-Q243+U243)-25*SIN(-2*P243+S243)+21*SIN(-P243+S243)</f>
        <v>-522.634700476242</v>
      </c>
      <c r="W243" s="36" t="n">
        <f aca="false">2*PI()*(N243+O243/1296000-INT(N243+O243/1296000))</f>
        <v>3.27458145605106</v>
      </c>
      <c r="X243" s="35" t="n">
        <f aca="false">W243*180/PI()</f>
        <v>187.61969710353</v>
      </c>
      <c r="Y243" s="36" t="n">
        <f aca="false">(18520*SIN(T243)+V243)/206264.8062</f>
        <v>0.0544358005753466</v>
      </c>
      <c r="Z243" s="36" t="n">
        <f aca="false">Y243*180/PI()</f>
        <v>3.11894162738318</v>
      </c>
      <c r="AA243" s="36" t="n">
        <f aca="false">COS(Y243)*COS(W243)</f>
        <v>-0.989701831835843</v>
      </c>
      <c r="AB243" s="36" t="n">
        <f aca="false">COS(Y243)*SIN(W243)</f>
        <v>-0.132400730674332</v>
      </c>
      <c r="AC243" s="36" t="n">
        <f aca="false">SIN(Y243)</f>
        <v>0.0544089200194233</v>
      </c>
      <c r="AD243" s="36" t="n">
        <f aca="false">COS($A$10*(23.4393-46.815*L243/3600))*AB243-SIN($A$10*(23.4393-46.815*L243/3600))*AC243</f>
        <v>-0.143118061513679</v>
      </c>
      <c r="AE243" s="36" t="n">
        <f aca="false">SIN($A$10*(23.4393-46.815*L243/3600))*AB243+COS($A$10*(23.4393-46.815*L243/3600))*AC243</f>
        <v>-0.00273943960394406</v>
      </c>
      <c r="AF243" s="36" t="n">
        <f aca="false">SQRT(1-AE243*AE243)</f>
        <v>0.999996247728288</v>
      </c>
      <c r="AG243" s="35" t="n">
        <f aca="false">ATAN(AE243/AF243)/$A$10</f>
        <v>-0.156958523854043</v>
      </c>
      <c r="AH243" s="36" t="n">
        <f aca="false">IF(24*ATAN(AD243/(AA243+AF243))/PI()&gt;0,24*ATAN(AD243/(AA243+AF243))/PI(),24*ATAN(AD243/(AA243+AF243))/PI()+24)</f>
        <v>12.54855643585</v>
      </c>
      <c r="AI243" s="63" t="n">
        <f aca="false">IF(M243-15*AH243&gt;0,M243-15*AH243,360+M243-15*AH243)</f>
        <v>164.942718850031</v>
      </c>
      <c r="AJ243" s="32" t="n">
        <f aca="false">0.950724+0.051818*COS(P243)+0.009531*COS(2*R243-P243)+0.007843*COS(2*R243)+0.002824*COS(2*P243)+0.000857*COS(2*R243+P243)+0.000533*COS(2*R243-Q243)*(1-0.002495*(J243-2415020)/36525)+0.000401*COS(2*R243-Q243-P243)*(1-0.002495*(J243-2415020)/36525)+0.00032*COS(P243-Q243)*(1-0.002495*(J243-2415020)/36525)-0.000271*COS(R243)</f>
        <v>0.939709392573011</v>
      </c>
      <c r="AK243" s="36" t="n">
        <f aca="false">ASIN(COS($A$10*$B$5)*COS($A$10*AG243)*COS($A$10*AI243)+SIN($A$10*$B$5)*SIN($A$10*AG243))/$A$10</f>
        <v>-38.5219730678158</v>
      </c>
      <c r="AL243" s="32" t="n">
        <f aca="false">ASIN((0.9983271+0.0016764*COS($A$10*2*$B$5))*COS($A$10*AK243)*SIN($A$10*AJ243))/$A$10</f>
        <v>0.733743063962056</v>
      </c>
      <c r="AM243" s="32" t="n">
        <f aca="false">AK243-AL243</f>
        <v>-39.2557161317778</v>
      </c>
      <c r="AN243" s="35" t="n">
        <f aca="false"> MOD(280.4664567 + 360007.6982779*L243/10 + 0.03032028*L243^2/100 + L243^3/49931000,360)</f>
        <v>158.176848167519</v>
      </c>
      <c r="AO243" s="32" t="n">
        <f aca="false"> AN243 + (1.9146 - 0.004817*L243 - 0.000014*L243^2)*SIN(Q243)+ (0.019993 - 0.000101*L243)*SIN(2*Q243)+ 0.00029*SIN(3*Q243)</f>
        <v>156.631025577689</v>
      </c>
      <c r="AP243" s="32" t="n">
        <f aca="false">ACOS(COS(W243-$A$10*AO243)*COS(Y243))/$A$10</f>
        <v>31.1296935210347</v>
      </c>
      <c r="AQ243" s="34" t="n">
        <f aca="false">180 - AP243 -0.1468*(1-0.0549*SIN(Q243))*SIN($A$10*AP243)/(1-0.0167*SIN($A$10*AO243))</f>
        <v>148.79047881464</v>
      </c>
      <c r="AR243" s="64" t="n">
        <f aca="false">SIN($A$10*AI243)</f>
        <v>0.259784594791075</v>
      </c>
      <c r="AS243" s="64" t="n">
        <f aca="false">COS($A$10*AI243)*SIN($A$10*$B$5) - TAN($A$10*AG243)*COS($A$10*$B$5)</f>
        <v>-0.737982641235483</v>
      </c>
      <c r="AT243" s="24" t="n">
        <f aca="false">IF(OR(AND(AR243*AS243&gt;0), AND(AR243&lt;0,AS243&gt;0)), MOD(ATAN2(AS243,AR243)/$A$10+360,360),  ATAN2(AS243,AR243)/$A$10)</f>
        <v>160.60691568073</v>
      </c>
      <c r="AU243" s="39" t="n">
        <f aca="false"> 385000.56 + (-20905355*COS(P243) - 3699111*COS(2*R243-P243) - 2955968*COS(2*R243) - 569925*COS(2*P243) + (1-0.002516*L243)*48888*COS(Q243) - 3149*COS(2*S243)  +246158*COS(2*R243-2*P243) -(1 - 0.002516*L243)*152138*COS(2*R243-Q243-P243) -170733*COS(2*R243+P243) -(1 - 0.002516*L243)*204586*COS(2*R243-Q243) -(1 - 0.002516*L243)*129620*COS(Q243-P243)  + 108743*COS(R243) +(1-0.002516*L243)*104755*COS(Q243+P243) +10321*COS(2*R243-2*S243) +79661*COS(P243-2*S243) -34782*COS(4*R243-P243) -23210*COS(3*P243)  -21636*COS(4*R243-2*P243) +(1 - 0.002516*L243)*24208*COS(2*R243+Q243-P243) +(1 - 0.002516*L243)*30824*COS(2*R243+Q243) -8379*COS(R243-P243) -(1 - 0.002516*L243)*16675*COS(R243+Q243)  -(1 - 0.002516*L243)*12831*COS(2*R243-Q243+P243) -10445*COS(2*R243+2*P243) -11650*COS(4*R243) +14403*COS(2*R243-3*P243) -(1-0.002516*L243)*7003*COS(Q243-2*P243)  + (1 - 0.002516*L243)*10056*COS(2*R243-Q243-2*P243) +6322*COS(R243+P243) -(1 - 0.002516*L243)*(1-0.002516*L243)*9884*COS(2*R243-2*Q243) +(1-0.002516*L243)*5751*COS(Q243+2*P243) - (1-0.002516*L243)^2*4950*COS(2*R243-2*Q243-P243)  +4130*COS(2*R243+P243-2*S243) -(1-0.002516*L243)*3958*COS(4*R243-Q243-P243) +3258*COS(3*R243-P243) +(1 - 0.002516*L243)*2616*COS(2*R243+Q243+P243) -(1 - 0.002516*L243)*1897*COS(4*R243-Q243-2*P243)  -(1-0.002516*L243)^2*2117*COS(2*Q243-P243) +(1-0.002516*L243)^2*2354*COS(2*R243+2*Q243-P243) -1423*COS(4*R243+P243) -1117*COS(4*P243) -(1-0.002516*L243)*1571*COS(4*R243-Q243)  -1739*COS(R243-2*P243) -4421*COS(2*P243-2*S243) +(1-0.002516*L243)^2*1165*COS(2*Q243+P243) +8752*COS(2*R243-P243-2*S243))/1000</f>
        <v>388919.842404158</v>
      </c>
      <c r="AV243" s="54" t="n">
        <f aca="false">ATAN(0.99664719*TAN($A$10*input!$E$2))</f>
        <v>0.871010436227447</v>
      </c>
      <c r="AW243" s="54" t="n">
        <f aca="false">COS(AV243)</f>
        <v>0.644053912545845</v>
      </c>
      <c r="AX243" s="54" t="n">
        <f aca="false">0.99664719*SIN(AV243)</f>
        <v>0.762415269897027</v>
      </c>
      <c r="AY243" s="54" t="n">
        <f aca="false">6378.14/AU243</f>
        <v>0.0163996261043734</v>
      </c>
      <c r="AZ243" s="55" t="n">
        <f aca="false">M243-15*AH243</f>
        <v>164.942718850031</v>
      </c>
      <c r="BA243" s="56" t="n">
        <f aca="false">COS($A$10*AG243)*SIN($A$10*AZ243)</f>
        <v>0.259783620008689</v>
      </c>
      <c r="BB243" s="56" t="n">
        <f aca="false">COS($A$10*AG243)*COS($A$10*AZ243)-AW243*AY243</f>
        <v>-0.976225210569408</v>
      </c>
      <c r="BC243" s="56" t="n">
        <f aca="false">SIN($A$10*AG243)-AX243*AY243</f>
        <v>-0.0152427649665202</v>
      </c>
      <c r="BD243" s="57" t="n">
        <f aca="false">SQRT(BA243^2+BB243^2+BC243^2)</f>
        <v>1.01031457124003</v>
      </c>
      <c r="BE243" s="58" t="n">
        <f aca="false">AU243*BD243</f>
        <v>392931.383825297</v>
      </c>
    </row>
    <row r="244" customFormat="false" ht="15" hidden="false" customHeight="false" outlineLevel="0" collapsed="false">
      <c r="D244" s="41" t="n">
        <f aca="false">K244-INT(275*E244/9)+IF($A$8="common year",2,1)*INT((E244+9)/12)+30</f>
        <v>31</v>
      </c>
      <c r="E244" s="41" t="n">
        <f aca="false">IF(K244&lt;32,1,INT(9*(IF($A$8="common year",2,1)+K244)/275+0.98))</f>
        <v>8</v>
      </c>
      <c r="F244" s="42" t="n">
        <f aca="false">AM244</f>
        <v>-41.7754777022878</v>
      </c>
      <c r="G244" s="60" t="n">
        <f aca="false">F244+1.02/(TAN($A$10*(F244+10.3/(F244+5.11)))*60)</f>
        <v>-41.7943207833465</v>
      </c>
      <c r="H244" s="43" t="n">
        <f aca="false">100*(1+COS($A$10*AQ244))/2</f>
        <v>13.5197401200073</v>
      </c>
      <c r="I244" s="43" t="n">
        <f aca="false">IF(AI244&gt;180,AT244-180,AT244+180)</f>
        <v>325.146500100049</v>
      </c>
      <c r="J244" s="61" t="n">
        <f aca="false">$J$2+K243</f>
        <v>2459822.5</v>
      </c>
      <c r="K244" s="21" t="n">
        <v>243</v>
      </c>
      <c r="L244" s="62" t="n">
        <f aca="false">(J244-2451545)/36525</f>
        <v>0.22662559890486</v>
      </c>
      <c r="M244" s="63" t="n">
        <f aca="false">MOD(280.46061837+360.98564736629*(J244-2451545)+0.000387933*L244^2-L244^3/38710000+$B$7,360)</f>
        <v>354.156712758821</v>
      </c>
      <c r="N244" s="30" t="n">
        <f aca="false">0.606433+1336.855225*L244 - INT(0.606433+1336.855225*L244)</f>
        <v>0.572049014715958</v>
      </c>
      <c r="O244" s="35" t="n">
        <f aca="false">22640*SIN(P244)-4586*SIN(P244-2*R244)+2370*SIN(2*R244)+769*SIN(2*P244)-668*SIN(Q244)-412*SIN(2*S244)-212*SIN(2*P244-2*R244)-206*SIN(P244+Q244-2*R244)+192*SIN(P244+2*R244)-165*SIN(Q244-2*R244)-125*SIN(R244)-110*SIN(P244+Q244)+148*SIN(P244-Q244)-55*SIN(2*S244-2*R244)</f>
        <v>-19230.03463589</v>
      </c>
      <c r="P244" s="32" t="n">
        <f aca="false">2*PI()*(0.374897+1325.55241*L244 - INT(0.374897+1325.55241*L244))</f>
        <v>4.8946377718241</v>
      </c>
      <c r="Q244" s="36" t="n">
        <f aca="false">2*PI()*(0.993133+99.997361*L244 - INT(0.993133+99.997361*L244))</f>
        <v>4.11608218258235</v>
      </c>
      <c r="R244" s="36" t="n">
        <f aca="false">2*PI()*(0.827361+1236.853086*L244 - INT(0.827361+1236.853086*L244))</f>
        <v>0.816389171141959</v>
      </c>
      <c r="S244" s="36" t="n">
        <f aca="false">2*PI()*(0.259086+1342.227825*L244 - INT(0.259086+1342.227825*L244))</f>
        <v>2.77886881048293</v>
      </c>
      <c r="T244" s="36" t="n">
        <f aca="false">S244+(O244+412*SIN(2*S244)+541*SIN(Q244))/206264.8062</f>
        <v>2.68214355460921</v>
      </c>
      <c r="U244" s="36" t="n">
        <f aca="false">S244-2*R244</f>
        <v>1.14609046819901</v>
      </c>
      <c r="V244" s="34" t="n">
        <f aca="false">-526*SIN(U244)+44*SIN(P244+U244)-31*SIN(-P244+U244)-23*SIN(Q244+U244)+11*SIN(-Q244+U244)-25*SIN(-2*P244+S244)+21*SIN(-P244+S244)</f>
        <v>-491.121225226666</v>
      </c>
      <c r="W244" s="36" t="n">
        <f aca="false">2*PI()*(N244+O244/1296000-INT(N244+O244/1296000))</f>
        <v>3.50106012545297</v>
      </c>
      <c r="X244" s="35" t="n">
        <f aca="false">W244*180/PI()</f>
        <v>200.595969009998</v>
      </c>
      <c r="Y244" s="36" t="n">
        <f aca="false">(18520*SIN(T244)+V244)/206264.8062</f>
        <v>0.0374356365867239</v>
      </c>
      <c r="Z244" s="36" t="n">
        <f aca="false">Y244*180/PI()</f>
        <v>2.14490397980481</v>
      </c>
      <c r="AA244" s="36" t="n">
        <f aca="false">COS(Y244)*COS(W244)</f>
        <v>-0.935428436661741</v>
      </c>
      <c r="AB244" s="36" t="n">
        <f aca="false">COS(Y244)*SIN(W244)</f>
        <v>-0.351529326715957</v>
      </c>
      <c r="AC244" s="36" t="n">
        <f aca="false">SIN(Y244)</f>
        <v>0.0374268933147939</v>
      </c>
      <c r="AD244" s="36" t="n">
        <f aca="false">COS($A$10*(23.4393-46.815*L244/3600))*AB244-SIN($A$10*(23.4393-46.815*L244/3600))*AC244</f>
        <v>-0.337414824020363</v>
      </c>
      <c r="AE244" s="36" t="n">
        <f aca="false">SIN($A$10*(23.4393-46.815*L244/3600))*AB244+COS($A$10*(23.4393-46.815*L244/3600))*AC244</f>
        <v>-0.105474529702096</v>
      </c>
      <c r="AF244" s="36" t="n">
        <f aca="false">SQRT(1-AE244*AE244)</f>
        <v>0.994422004776705</v>
      </c>
      <c r="AG244" s="35" t="n">
        <f aca="false">ATAN(AE244/AF244)/$A$10</f>
        <v>-6.05450692675698</v>
      </c>
      <c r="AH244" s="36" t="n">
        <f aca="false">IF(24*ATAN(AD244/(AA244+AF244))/PI()&gt;0,24*ATAN(AD244/(AA244+AF244))/PI(),24*ATAN(AD244/(AA244+AF244))/PI()+24)</f>
        <v>13.3223125070691</v>
      </c>
      <c r="AI244" s="63" t="n">
        <f aca="false">IF(M244-15*AH244&gt;0,M244-15*AH244,360+M244-15*AH244)</f>
        <v>154.322025152784</v>
      </c>
      <c r="AJ244" s="32" t="n">
        <f aca="false">0.950724+0.051818*COS(P244)+0.009531*COS(2*R244-P244)+0.007843*COS(2*R244)+0.002824*COS(2*P244)+0.000857*COS(2*R244+P244)+0.000533*COS(2*R244-Q244)*(1-0.002495*(J244-2415020)/36525)+0.000401*COS(2*R244-Q244-P244)*(1-0.002495*(J244-2415020)/36525)+0.00032*COS(P244-Q244)*(1-0.002495*(J244-2415020)/36525)-0.000271*COS(R244)</f>
        <v>0.948165094441247</v>
      </c>
      <c r="AK244" s="36" t="n">
        <f aca="false">ASIN(COS($A$10*$B$5)*COS($A$10*AG244)*COS($A$10*AI244)+SIN($A$10*$B$5)*SIN($A$10*AG244))/$A$10</f>
        <v>-41.0619799714263</v>
      </c>
      <c r="AL244" s="32" t="n">
        <f aca="false">ASIN((0.9983271+0.0016764*COS($A$10*2*$B$5))*COS($A$10*AK244)*SIN($A$10*AJ244))/$A$10</f>
        <v>0.713497730861512</v>
      </c>
      <c r="AM244" s="32" t="n">
        <f aca="false">AK244-AL244</f>
        <v>-41.7754777022878</v>
      </c>
      <c r="AN244" s="35" t="n">
        <f aca="false"> MOD(280.4664567 + 360007.6982779*L244/10 + 0.03032028*L244^2/100 + L244^3/49931000,360)</f>
        <v>159.162495531386</v>
      </c>
      <c r="AO244" s="32" t="n">
        <f aca="false"> AN244 + (1.9146 - 0.004817*L244 - 0.000014*L244^2)*SIN(Q244)+ (0.019993 - 0.000101*L244)*SIN(2*Q244)+ 0.00029*SIN(3*Q244)</f>
        <v>157.597726217113</v>
      </c>
      <c r="AP244" s="32" t="n">
        <f aca="false">ACOS(COS(W244-$A$10*AO244)*COS(Y244))/$A$10</f>
        <v>43.0412764610848</v>
      </c>
      <c r="AQ244" s="34" t="n">
        <f aca="false">180 - AP244 -0.1468*(1-0.0549*SIN(Q244))*SIN($A$10*AP244)/(1-0.0167*SIN($A$10*AO244))</f>
        <v>136.853306582093</v>
      </c>
      <c r="AR244" s="64" t="n">
        <f aca="false">SIN($A$10*AI244)</f>
        <v>0.43331266824449</v>
      </c>
      <c r="AS244" s="64" t="n">
        <f aca="false">COS($A$10*AI244)*SIN($A$10*$B$5) - TAN($A$10*AG244)*COS($A$10*$B$5)</f>
        <v>-0.622214678814013</v>
      </c>
      <c r="AT244" s="24" t="n">
        <f aca="false">IF(OR(AND(AR244*AS244&gt;0), AND(AR244&lt;0,AS244&gt;0)), MOD(ATAN2(AS244,AR244)/$A$10+360,360),  ATAN2(AS244,AR244)/$A$10)</f>
        <v>145.146500100049</v>
      </c>
      <c r="AU244" s="39" t="n">
        <f aca="false"> 385000.56 + (-20905355*COS(P244) - 3699111*COS(2*R244-P244) - 2955968*COS(2*R244) - 569925*COS(2*P244) + (1-0.002516*L244)*48888*COS(Q244) - 3149*COS(2*S244)  +246158*COS(2*R244-2*P244) -(1 - 0.002516*L244)*152138*COS(2*R244-Q244-P244) -170733*COS(2*R244+P244) -(1 - 0.002516*L244)*204586*COS(2*R244-Q244) -(1 - 0.002516*L244)*129620*COS(Q244-P244)  + 108743*COS(R244) +(1-0.002516*L244)*104755*COS(Q244+P244) +10321*COS(2*R244-2*S244) +79661*COS(P244-2*S244) -34782*COS(4*R244-P244) -23210*COS(3*P244)  -21636*COS(4*R244-2*P244) +(1 - 0.002516*L244)*24208*COS(2*R244+Q244-P244) +(1 - 0.002516*L244)*30824*COS(2*R244+Q244) -8379*COS(R244-P244) -(1 - 0.002516*L244)*16675*COS(R244+Q244)  -(1 - 0.002516*L244)*12831*COS(2*R244-Q244+P244) -10445*COS(2*R244+2*P244) -11650*COS(4*R244) +14403*COS(2*R244-3*P244) -(1-0.002516*L244)*7003*COS(Q244-2*P244)  + (1 - 0.002516*L244)*10056*COS(2*R244-Q244-2*P244) +6322*COS(R244+P244) -(1 - 0.002516*L244)*(1-0.002516*L244)*9884*COS(2*R244-2*Q244) +(1-0.002516*L244)*5751*COS(Q244+2*P244) - (1-0.002516*L244)^2*4950*COS(2*R244-2*Q244-P244)  +4130*COS(2*R244+P244-2*S244) -(1-0.002516*L244)*3958*COS(4*R244-Q244-P244) +3258*COS(3*R244-P244) +(1 - 0.002516*L244)*2616*COS(2*R244+Q244+P244) -(1 - 0.002516*L244)*1897*COS(4*R244-Q244-2*P244)  -(1-0.002516*L244)^2*2117*COS(2*Q244-P244) +(1-0.002516*L244)^2*2354*COS(2*R244+2*Q244-P244) -1423*COS(4*R244+P244) -1117*COS(4*P244) -(1-0.002516*L244)*1571*COS(4*R244-Q244)  -1739*COS(R244-2*P244) -4421*COS(2*P244-2*S244) +(1-0.002516*L244)^2*1165*COS(2*Q244+P244) +8752*COS(2*R244-P244-2*S244))/1000</f>
        <v>385424.691987088</v>
      </c>
      <c r="AV244" s="54" t="n">
        <f aca="false">ATAN(0.99664719*TAN($A$10*input!$E$2))</f>
        <v>0.871010436227447</v>
      </c>
      <c r="AW244" s="54" t="n">
        <f aca="false">COS(AV244)</f>
        <v>0.644053912545845</v>
      </c>
      <c r="AX244" s="54" t="n">
        <f aca="false">0.99664719*SIN(AV244)</f>
        <v>0.762415269897027</v>
      </c>
      <c r="AY244" s="54" t="n">
        <f aca="false">6378.14/AU244</f>
        <v>0.0165483429904737</v>
      </c>
      <c r="AZ244" s="55" t="n">
        <f aca="false">M244-15*AH244</f>
        <v>154.322025152784</v>
      </c>
      <c r="BA244" s="56" t="n">
        <f aca="false">COS($A$10*AG244)*SIN($A$10*AZ244)</f>
        <v>0.430895652250829</v>
      </c>
      <c r="BB244" s="56" t="n">
        <f aca="false">COS($A$10*AG244)*COS($A$10*AZ244)-AW244*AY244</f>
        <v>-0.906874550480076</v>
      </c>
      <c r="BC244" s="56" t="n">
        <f aca="false">SIN($A$10*AG244)-AX244*AY244</f>
        <v>-0.118091239089527</v>
      </c>
      <c r="BD244" s="57" t="n">
        <f aca="false">SQRT(BA244^2+BB244^2+BC244^2)</f>
        <v>1.01095897749949</v>
      </c>
      <c r="BE244" s="58" t="n">
        <f aca="false">AU244*BD244</f>
        <v>389648.552514321</v>
      </c>
    </row>
    <row r="245" customFormat="false" ht="15" hidden="false" customHeight="false" outlineLevel="0" collapsed="false">
      <c r="A245" s="11"/>
      <c r="B245" s="69"/>
      <c r="C245" s="69"/>
      <c r="D245" s="70" t="n">
        <f aca="false">K245-INT(275*E245/9)+IF($A$8="common year",2,1)*INT((E245+9)/12)+30</f>
        <v>1</v>
      </c>
      <c r="E245" s="70" t="n">
        <f aca="false">IF(K245&lt;32,1,INT(9*(IF($A$8="common year",2,1)+K245)/275+0.98))</f>
        <v>9</v>
      </c>
      <c r="F245" s="42" t="n">
        <f aca="false">AM245</f>
        <v>-42.0742806326776</v>
      </c>
      <c r="G245" s="60" t="n">
        <f aca="false">F245+1.02/(TAN($A$10*(F245+10.3/(F245+5.11)))*60)</f>
        <v>-42.09292875295</v>
      </c>
      <c r="H245" s="43" t="n">
        <f aca="false">100*(1+COS($A$10*AQ245))/2</f>
        <v>21.5640420482129</v>
      </c>
      <c r="I245" s="43" t="n">
        <f aca="false">IF(AI245&gt;180,AT245-180,AT245+180)</f>
        <v>308.715440504228</v>
      </c>
      <c r="J245" s="44" t="n">
        <f aca="false">$J$2+K244</f>
        <v>2459823.5</v>
      </c>
      <c r="K245" s="11" t="n">
        <v>244</v>
      </c>
      <c r="L245" s="45" t="n">
        <f aca="false">(J245-2451545)/36525</f>
        <v>0.226652977412731</v>
      </c>
      <c r="M245" s="46" t="n">
        <f aca="false">MOD(280.46061837+360.98564736629*(J245-2451545)+0.000387933*L245^2-L245^3/38710000+$B$7,360)</f>
        <v>355.142360130325</v>
      </c>
      <c r="N245" s="47" t="n">
        <f aca="false">0.606433+1336.855225*L245 - INT(0.606433+1336.855225*L245)</f>
        <v>0.608650116016406</v>
      </c>
      <c r="O245" s="46" t="n">
        <f aca="false">22640*SIN(P245)-4586*SIN(P245-2*R245)+2370*SIN(2*R245)+769*SIN(2*P245)-668*SIN(Q245)-412*SIN(2*S245)-212*SIN(2*P245-2*R245)-206*SIN(P245+Q245-2*R245)+192*SIN(P245+2*R245)-165*SIN(Q245-2*R245)-125*SIN(R245)-110*SIN(P245+Q245)+148*SIN(P245-Q245)-55*SIN(2*S245-2*R245)</f>
        <v>-19236.8013234316</v>
      </c>
      <c r="P245" s="48" t="n">
        <f aca="false">2*PI()*(0.374897+1325.55241*L245 - INT(0.374897+1325.55241*L245))</f>
        <v>5.12266491559956</v>
      </c>
      <c r="Q245" s="51" t="n">
        <f aca="false">2*PI()*(0.993133+99.997361*L245 - INT(0.993133+99.997361*L245))</f>
        <v>4.13328415244934</v>
      </c>
      <c r="R245" s="51" t="n">
        <f aca="false">2*PI()*(0.827361+1236.853086*L245 - INT(0.827361+1236.853086*L245))</f>
        <v>1.02915788126063</v>
      </c>
      <c r="S245" s="51" t="n">
        <f aca="false">2*PI()*(0.259086+1342.227825*L245 - INT(0.259086+1342.227825*L245))</f>
        <v>3.00976452982358</v>
      </c>
      <c r="T245" s="51" t="n">
        <f aca="false">S245+(O245+412*SIN(2*S245)+541*SIN(Q245))/206264.8062</f>
        <v>2.91378613475575</v>
      </c>
      <c r="U245" s="51" t="n">
        <f aca="false">S245-2*R245</f>
        <v>0.951448767302327</v>
      </c>
      <c r="V245" s="50" t="n">
        <f aca="false">-526*SIN(U245)+44*SIN(P245+U245)-31*SIN(-P245+U245)-23*SIN(Q245+U245)+11*SIN(-Q245+U245)-25*SIN(-2*P245+S245)+21*SIN(-P245+S245)</f>
        <v>-439.754576834846</v>
      </c>
      <c r="W245" s="51" t="n">
        <f aca="false">2*PI()*(N245+O245/1296000-INT(N245+O245/1296000))</f>
        <v>3.73099882154358</v>
      </c>
      <c r="X245" s="46" t="n">
        <f aca="false">W245*180/PI()</f>
        <v>213.770485842731</v>
      </c>
      <c r="Y245" s="51" t="n">
        <f aca="false">(18520*SIN(T245)+V245)/206264.8062</f>
        <v>0.0181457301833019</v>
      </c>
      <c r="Z245" s="51" t="n">
        <f aca="false">Y245*180/PI()</f>
        <v>1.03967375568635</v>
      </c>
      <c r="AA245" s="51" t="n">
        <f aca="false">COS(Y245)*COS(W245)</f>
        <v>-0.831134066072186</v>
      </c>
      <c r="AB245" s="51" t="n">
        <f aca="false">COS(Y245)*SIN(W245)</f>
        <v>-0.555775973597166</v>
      </c>
      <c r="AC245" s="51" t="n">
        <f aca="false">SIN(Y245)</f>
        <v>0.0181447343997549</v>
      </c>
      <c r="AD245" s="51" t="n">
        <f aca="false">COS($A$10*(23.4393-46.815*L245/3600))*AB245-SIN($A$10*(23.4393-46.815*L245/3600))*AC245</f>
        <v>-0.517142530998601</v>
      </c>
      <c r="AE245" s="51" t="n">
        <f aca="false">SIN($A$10*(23.4393-46.815*L245/3600))*AB245+COS($A$10*(23.4393-46.815*L245/3600))*AC245</f>
        <v>-0.204400995219386</v>
      </c>
      <c r="AF245" s="51" t="n">
        <f aca="false">SQRT(1-AE245*AE245)</f>
        <v>0.978887242307981</v>
      </c>
      <c r="AG245" s="46" t="n">
        <f aca="false">ATAN(AE245/AF245)/$A$10</f>
        <v>-11.7944361329169</v>
      </c>
      <c r="AH245" s="51" t="n">
        <f aca="false">IF(24*ATAN(AD245/(AA245+AF245))/PI()&gt;0,24*ATAN(AD245/(AA245+AF245))/PI(),24*ATAN(AD245/(AA245+AF245))/PI()+24)</f>
        <v>14.1260277577391</v>
      </c>
      <c r="AI245" s="46" t="n">
        <f aca="false">IF(M245-15*AH245&gt;0,M245-15*AH245,360+M245-15*AH245)</f>
        <v>143.251943764238</v>
      </c>
      <c r="AJ245" s="48" t="n">
        <f aca="false">0.950724+0.051818*COS(P245)+0.009531*COS(2*R245-P245)+0.007843*COS(2*R245)+0.002824*COS(2*P245)+0.000857*COS(2*R245+P245)+0.000533*COS(2*R245-Q245)*(1-0.002495*(J245-2415020)/36525)+0.000401*COS(2*R245-Q245-P245)*(1-0.002495*(J245-2415020)/36525)+0.00032*COS(P245-Q245)*(1-0.002495*(J245-2415020)/36525)-0.000271*COS(R245)</f>
        <v>0.956847228576899</v>
      </c>
      <c r="AK245" s="51" t="n">
        <f aca="false">ASIN(COS($A$10*$B$5)*COS($A$10*AG245)*COS($A$10*AI245)+SIN($A$10*$B$5)*SIN($A$10*AG245))/$A$10</f>
        <v>-41.3574948961815</v>
      </c>
      <c r="AL245" s="48" t="n">
        <f aca="false">ASIN((0.9983271+0.0016764*COS($A$10*2*$B$5))*COS($A$10*AK245)*SIN($A$10*AJ245))/$A$10</f>
        <v>0.716785736496072</v>
      </c>
      <c r="AM245" s="48" t="n">
        <f aca="false">AK245-AL245</f>
        <v>-42.0742806326776</v>
      </c>
      <c r="AN245" s="46" t="n">
        <f aca="false"> MOD(280.4664567 + 360007.6982779*L245/10 + 0.03032028*L245^2/100 + L245^3/49931000,360)</f>
        <v>160.148142895252</v>
      </c>
      <c r="AO245" s="48" t="n">
        <f aca="false"> AN245 + (1.9146 - 0.004817*L245 - 0.000014*L245^2)*SIN(Q245)+ (0.019993 - 0.000101*L245)*SIN(2*Q245)+ 0.00029*SIN(3*Q245)</f>
        <v>158.564873550462</v>
      </c>
      <c r="AP245" s="48" t="n">
        <f aca="false">ACOS(COS(W245-$A$10*AO245)*COS(Y245))/$A$10</f>
        <v>55.2121664622352</v>
      </c>
      <c r="AQ245" s="50" t="n">
        <f aca="false">180 - AP245 -0.1468*(1-0.0549*SIN(Q245))*SIN($A$10*AP245)/(1-0.0167*SIN($A$10*AO245))</f>
        <v>124.660957030795</v>
      </c>
      <c r="AR245" s="44" t="n">
        <f aca="false">SIN($A$10*AI245)</f>
        <v>0.598297417621984</v>
      </c>
      <c r="AS245" s="44" t="n">
        <f aca="false">COS($A$10*AI245)*SIN($A$10*$B$5) - TAN($A$10*AG245)*COS($A$10*$B$5)</f>
        <v>-0.479591394334218</v>
      </c>
      <c r="AT245" s="71" t="n">
        <f aca="false">IF(OR(AND(AR245*AS245&gt;0), AND(AR245&lt;0,AS245&gt;0)), MOD(ATAN2(AS245,AR245)/$A$10+360,360),  ATAN2(AS245,AR245)/$A$10)</f>
        <v>128.715440504228</v>
      </c>
      <c r="AU245" s="39" t="n">
        <f aca="false"> 385000.56 + (-20905355*COS(P245) - 3699111*COS(2*R245-P245) - 2955968*COS(2*R245) - 569925*COS(2*P245) + (1-0.002516*L245)*48888*COS(Q245) - 3149*COS(2*S245)  +246158*COS(2*R245-2*P245) -(1 - 0.002516*L245)*152138*COS(2*R245-Q245-P245) -170733*COS(2*R245+P245) -(1 - 0.002516*L245)*204586*COS(2*R245-Q245) -(1 - 0.002516*L245)*129620*COS(Q245-P245)  + 108743*COS(R245) +(1-0.002516*L245)*104755*COS(Q245+P245) +10321*COS(2*R245-2*S245) +79661*COS(P245-2*S245) -34782*COS(4*R245-P245) -23210*COS(3*P245)  -21636*COS(4*R245-2*P245) +(1 - 0.002516*L245)*24208*COS(2*R245+Q245-P245) +(1 - 0.002516*L245)*30824*COS(2*R245+Q245) -8379*COS(R245-P245) -(1 - 0.002516*L245)*16675*COS(R245+Q245)  -(1 - 0.002516*L245)*12831*COS(2*R245-Q245+P245) -10445*COS(2*R245+2*P245) -11650*COS(4*R245) +14403*COS(2*R245-3*P245) -(1-0.002516*L245)*7003*COS(Q245-2*P245)  + (1 - 0.002516*L245)*10056*COS(2*R245-Q245-2*P245) +6322*COS(R245+P245) -(1 - 0.002516*L245)*(1-0.002516*L245)*9884*COS(2*R245-2*Q245) +(1-0.002516*L245)*5751*COS(Q245+2*P245) - (1-0.002516*L245)^2*4950*COS(2*R245-2*Q245-P245)  +4130*COS(2*R245+P245-2*S245) -(1-0.002516*L245)*3958*COS(4*R245-Q245-P245) +3258*COS(3*R245-P245) +(1 - 0.002516*L245)*2616*COS(2*R245+Q245+P245) -(1 - 0.002516*L245)*1897*COS(4*R245-Q245-2*P245)  -(1-0.002516*L245)^2*2117*COS(2*Q245-P245) +(1-0.002516*L245)^2*2354*COS(2*R245+2*Q245-P245) -1423*COS(4*R245+P245) -1117*COS(4*P245) -(1-0.002516*L245)*1571*COS(4*R245-Q245)  -1739*COS(R245-2*P245) -4421*COS(2*P245-2*S245) +(1-0.002516*L245)^2*1165*COS(2*Q245+P245) +8752*COS(2*R245-P245-2*S245))/1000</f>
        <v>381875.221045532</v>
      </c>
      <c r="AV245" s="72" t="n">
        <f aca="false">ATAN(0.99664719*TAN($A$10*input!$E$2))</f>
        <v>0.871010436227447</v>
      </c>
      <c r="AW245" s="72" t="n">
        <f aca="false">COS(AV245)</f>
        <v>0.644053912545845</v>
      </c>
      <c r="AX245" s="72" t="n">
        <f aca="false">0.99664719*SIN(AV245)</f>
        <v>0.762415269897027</v>
      </c>
      <c r="AY245" s="72" t="n">
        <f aca="false">6378.14/AU245</f>
        <v>0.0167021572715228</v>
      </c>
      <c r="AZ245" s="73" t="n">
        <f aca="false">M245-15*AH245</f>
        <v>143.251943764238</v>
      </c>
      <c r="BA245" s="74" t="n">
        <f aca="false">COS($A$10*AG245)*SIN($A$10*AZ245)</f>
        <v>0.585665709215971</v>
      </c>
      <c r="BB245" s="74" t="n">
        <f aca="false">COS($A$10*AG245)*COS($A$10*AZ245)-AW245*AY245</f>
        <v>-0.795114094043403</v>
      </c>
      <c r="BC245" s="74" t="n">
        <f aca="false">SIN($A$10*AG245)-AX245*AY245</f>
        <v>-0.217134974963417</v>
      </c>
      <c r="BD245" s="75" t="n">
        <f aca="false">SQRT(BA245^2+BB245^2+BC245^2)</f>
        <v>1.01111737342915</v>
      </c>
      <c r="BE245" s="58" t="n">
        <f aca="false">AU245*BD245</f>
        <v>386120.670481236</v>
      </c>
      <c r="BH245" s="69"/>
      <c r="BI245" s="69"/>
      <c r="BJ245" s="69"/>
      <c r="BK245" s="69"/>
      <c r="BL245" s="69"/>
    </row>
    <row r="246" customFormat="false" ht="15" hidden="false" customHeight="false" outlineLevel="0" collapsed="false">
      <c r="D246" s="41" t="n">
        <f aca="false">K246-INT(275*E246/9)+IF($A$8="common year",2,1)*INT((E246+9)/12)+30</f>
        <v>2</v>
      </c>
      <c r="E246" s="41" t="n">
        <f aca="false">IF(K246&lt;32,1,INT(9*(IF($A$8="common year",2,1)+K246)/275+0.98))</f>
        <v>9</v>
      </c>
      <c r="F246" s="42" t="n">
        <f aca="false">AM246</f>
        <v>-39.9489050212912</v>
      </c>
      <c r="G246" s="60" t="n">
        <f aca="false">F246+1.02/(TAN($A$10*(F246+10.3/(F246+5.11)))*60)</f>
        <v>-39.9689901050698</v>
      </c>
      <c r="H246" s="43" t="n">
        <f aca="false">100*(1+COS($A$10*AQ246))/2</f>
        <v>31.08439328685</v>
      </c>
      <c r="I246" s="43" t="n">
        <f aca="false">IF(AI246&gt;180,AT246-180,AT246+180)</f>
        <v>292.456403005508</v>
      </c>
      <c r="J246" s="61" t="n">
        <f aca="false">$J$2+K245</f>
        <v>2459824.5</v>
      </c>
      <c r="K246" s="21" t="n">
        <v>245</v>
      </c>
      <c r="L246" s="62" t="n">
        <f aca="false">(J246-2451545)/36525</f>
        <v>0.226680355920602</v>
      </c>
      <c r="M246" s="63" t="n">
        <f aca="false">MOD(280.46061837+360.98564736629*(J246-2451545)+0.000387933*L246^2-L246^3/38710000+$B$7,360)</f>
        <v>356.128007501364</v>
      </c>
      <c r="N246" s="30" t="n">
        <f aca="false">0.606433+1336.855225*L246 - INT(0.606433+1336.855225*L246)</f>
        <v>0.645251217316854</v>
      </c>
      <c r="O246" s="35" t="n">
        <f aca="false">22640*SIN(P246)-4586*SIN(P246-2*R246)+2370*SIN(2*R246)+769*SIN(2*P246)-668*SIN(Q246)-412*SIN(2*S246)-212*SIN(2*P246-2*R246)-206*SIN(P246+Q246-2*R246)+192*SIN(P246+2*R246)-165*SIN(Q246-2*R246)-125*SIN(R246)-110*SIN(P246+Q246)+148*SIN(P246-Q246)-55*SIN(2*S246-2*R246)</f>
        <v>-18468.3634430514</v>
      </c>
      <c r="P246" s="32" t="n">
        <f aca="false">2*PI()*(0.374897+1325.55241*L246 - INT(0.374897+1325.55241*L246))</f>
        <v>5.35069205937538</v>
      </c>
      <c r="Q246" s="36" t="n">
        <f aca="false">2*PI()*(0.993133+99.997361*L246 - INT(0.993133+99.997361*L246))</f>
        <v>4.15048612231632</v>
      </c>
      <c r="R246" s="36" t="n">
        <f aca="false">2*PI()*(0.827361+1236.853086*L246 - INT(0.827361+1236.853086*L246))</f>
        <v>1.24192659137965</v>
      </c>
      <c r="S246" s="36" t="n">
        <f aca="false">2*PI()*(0.259086+1342.227825*L246 - INT(0.259086+1342.227825*L246))</f>
        <v>3.24066024916458</v>
      </c>
      <c r="T246" s="36" t="n">
        <f aca="false">S246+(O246+412*SIN(2*S246)+541*SIN(Q246))/206264.8062</f>
        <v>3.14929671259172</v>
      </c>
      <c r="U246" s="36" t="n">
        <f aca="false">S246-2*R246</f>
        <v>0.756807066405282</v>
      </c>
      <c r="V246" s="34" t="n">
        <f aca="false">-526*SIN(U246)+44*SIN(P246+U246)-31*SIN(-P246+U246)-23*SIN(Q246+U246)+11*SIN(-Q246+U246)-25*SIN(-2*P246+S246)+21*SIN(-P246+S246)</f>
        <v>-369.246851316039</v>
      </c>
      <c r="W246" s="36" t="n">
        <f aca="false">2*PI()*(N246+O246/1296000-INT(N246+O246/1296000))</f>
        <v>3.96469581543606</v>
      </c>
      <c r="X246" s="35" t="n">
        <f aca="false">W246*180/PI()</f>
        <v>227.160337277664</v>
      </c>
      <c r="Y246" s="36" t="n">
        <f aca="false">(18520*SIN(T246)+V246)/206264.8062</f>
        <v>-0.00248188055961724</v>
      </c>
      <c r="Z246" s="36" t="n">
        <f aca="false">Y246*180/PI()</f>
        <v>-0.142201281321635</v>
      </c>
      <c r="AA246" s="36" t="n">
        <f aca="false">COS(Y246)*COS(W246)</f>
        <v>-0.679946968174888</v>
      </c>
      <c r="AB246" s="36" t="n">
        <f aca="false">COS(Y246)*SIN(W246)</f>
        <v>-0.733257090488263</v>
      </c>
      <c r="AC246" s="36" t="n">
        <f aca="false">SIN(Y246)</f>
        <v>-0.00248187801166521</v>
      </c>
      <c r="AD246" s="36" t="n">
        <f aca="false">COS($A$10*(23.4393-46.815*L246/3600))*AB246-SIN($A$10*(23.4393-46.815*L246/3600))*AC246</f>
        <v>-0.671778069867462</v>
      </c>
      <c r="AE246" s="36" t="n">
        <f aca="false">SIN($A$10*(23.4393-46.815*L246/3600))*AB246+COS($A$10*(23.4393-46.815*L246/3600))*AC246</f>
        <v>-0.29391554112521</v>
      </c>
      <c r="AF246" s="36" t="n">
        <f aca="false">SQRT(1-AE246*AE246)</f>
        <v>0.955831394486012</v>
      </c>
      <c r="AG246" s="35" t="n">
        <f aca="false">ATAN(AE246/AF246)/$A$10</f>
        <v>-17.092519866725</v>
      </c>
      <c r="AH246" s="36" t="n">
        <f aca="false">IF(24*ATAN(AD246/(AA246+AF246))/PI()&gt;0,24*ATAN(AD246/(AA246+AF246))/PI(),24*ATAN(AD246/(AA246+AF246))/PI()+24)</f>
        <v>14.976916523438</v>
      </c>
      <c r="AI246" s="63" t="n">
        <f aca="false">IF(M246-15*AH246&gt;0,M246-15*AH246,360+M246-15*AH246)</f>
        <v>131.474259649793</v>
      </c>
      <c r="AJ246" s="32" t="n">
        <f aca="false">0.950724+0.051818*COS(P246)+0.009531*COS(2*R246-P246)+0.007843*COS(2*R246)+0.002824*COS(2*P246)+0.000857*COS(2*R246+P246)+0.000533*COS(2*R246-Q246)*(1-0.002495*(J246-2415020)/36525)+0.000401*COS(2*R246-Q246-P246)*(1-0.002495*(J246-2415020)/36525)+0.00032*COS(P246-Q246)*(1-0.002495*(J246-2415020)/36525)-0.000271*COS(R246)</f>
        <v>0.965690379946853</v>
      </c>
      <c r="AK246" s="36" t="n">
        <f aca="false">ASIN(COS($A$10*$B$5)*COS($A$10*AG246)*COS($A$10*AI246)+SIN($A$10*$B$5)*SIN($A$10*AG246))/$A$10</f>
        <v>-39.2020544113001</v>
      </c>
      <c r="AL246" s="32" t="n">
        <f aca="false">ASIN((0.9983271+0.0016764*COS($A$10*2*$B$5))*COS($A$10*AK246)*SIN($A$10*AJ246))/$A$10</f>
        <v>0.746850609991134</v>
      </c>
      <c r="AM246" s="32" t="n">
        <f aca="false">AK246-AL246</f>
        <v>-39.9489050212912</v>
      </c>
      <c r="AN246" s="35" t="n">
        <f aca="false"> MOD(280.4664567 + 360007.6982779*L246/10 + 0.03032028*L246^2/100 + L246^3/49931000,360)</f>
        <v>161.133790259119</v>
      </c>
      <c r="AO246" s="32" t="n">
        <f aca="false"> AN246 + (1.9146 - 0.004817*L246 - 0.000014*L246^2)*SIN(Q246)+ (0.019993 - 0.000101*L246)*SIN(2*Q246)+ 0.00029*SIN(3*Q246)</f>
        <v>159.532473251959</v>
      </c>
      <c r="AP246" s="32" t="n">
        <f aca="false">ACOS(COS(W246-$A$10*AO246)*COS(Y246))/$A$10</f>
        <v>67.6279366581955</v>
      </c>
      <c r="AQ246" s="34" t="n">
        <f aca="false">180 - AP246 -0.1468*(1-0.0549*SIN(Q246))*SIN($A$10*AP246)/(1-0.0167*SIN($A$10*AO246))</f>
        <v>112.229171491971</v>
      </c>
      <c r="AR246" s="64" t="n">
        <f aca="false">SIN($A$10*AI246)</f>
        <v>0.749253329814004</v>
      </c>
      <c r="AS246" s="64" t="n">
        <f aca="false">COS($A$10*AI246)*SIN($A$10*$B$5) - TAN($A$10*AG246)*COS($A$10*$B$5)</f>
        <v>-0.30968316971209</v>
      </c>
      <c r="AT246" s="24" t="n">
        <f aca="false">IF(OR(AND(AR246*AS246&gt;0), AND(AR246&lt;0,AS246&gt;0)), MOD(ATAN2(AS246,AR246)/$A$10+360,360),  ATAN2(AS246,AR246)/$A$10)</f>
        <v>112.456403005508</v>
      </c>
      <c r="AU246" s="39" t="n">
        <f aca="false"> 385000.56 + (-20905355*COS(P246) - 3699111*COS(2*R246-P246) - 2955968*COS(2*R246) - 569925*COS(2*P246) + (1-0.002516*L246)*48888*COS(Q246) - 3149*COS(2*S246)  +246158*COS(2*R246-2*P246) -(1 - 0.002516*L246)*152138*COS(2*R246-Q246-P246) -170733*COS(2*R246+P246) -(1 - 0.002516*L246)*204586*COS(2*R246-Q246) -(1 - 0.002516*L246)*129620*COS(Q246-P246)  + 108743*COS(R246) +(1-0.002516*L246)*104755*COS(Q246+P246) +10321*COS(2*R246-2*S246) +79661*COS(P246-2*S246) -34782*COS(4*R246-P246) -23210*COS(3*P246)  -21636*COS(4*R246-2*P246) +(1 - 0.002516*L246)*24208*COS(2*R246+Q246-P246) +(1 - 0.002516*L246)*30824*COS(2*R246+Q246) -8379*COS(R246-P246) -(1 - 0.002516*L246)*16675*COS(R246+Q246)  -(1 - 0.002516*L246)*12831*COS(2*R246-Q246+P246) -10445*COS(2*R246+2*P246) -11650*COS(4*R246) +14403*COS(2*R246-3*P246) -(1-0.002516*L246)*7003*COS(Q246-2*P246)  + (1 - 0.002516*L246)*10056*COS(2*R246-Q246-2*P246) +6322*COS(R246+P246) -(1 - 0.002516*L246)*(1-0.002516*L246)*9884*COS(2*R246-2*Q246) +(1-0.002516*L246)*5751*COS(Q246+2*P246) - (1-0.002516*L246)^2*4950*COS(2*R246-2*Q246-P246)  +4130*COS(2*R246+P246-2*S246) -(1-0.002516*L246)*3958*COS(4*R246-Q246-P246) +3258*COS(3*R246-P246) +(1 - 0.002516*L246)*2616*COS(2*R246+Q246+P246) -(1 - 0.002516*L246)*1897*COS(4*R246-Q246-2*P246)  -(1-0.002516*L246)^2*2117*COS(2*Q246-P246) +(1-0.002516*L246)^2*2354*COS(2*R246+2*Q246-P246) -1423*COS(4*R246+P246) -1117*COS(4*P246) -(1-0.002516*L246)*1571*COS(4*R246-Q246)  -1739*COS(R246-2*P246) -4421*COS(2*P246-2*S246) +(1-0.002516*L246)^2*1165*COS(2*Q246+P246) +8752*COS(2*R246-P246-2*S246))/1000</f>
        <v>378316.556460857</v>
      </c>
      <c r="AV246" s="54" t="n">
        <f aca="false">ATAN(0.99664719*TAN($A$10*input!$E$2))</f>
        <v>0.871010436227447</v>
      </c>
      <c r="AW246" s="54" t="n">
        <f aca="false">COS(AV246)</f>
        <v>0.644053912545845</v>
      </c>
      <c r="AX246" s="54" t="n">
        <f aca="false">0.99664719*SIN(AV246)</f>
        <v>0.762415269897027</v>
      </c>
      <c r="AY246" s="54" t="n">
        <f aca="false">6378.14/AU246</f>
        <v>0.0168592674337791</v>
      </c>
      <c r="AZ246" s="55" t="n">
        <f aca="false">M246-15*AH246</f>
        <v>131.474259649793</v>
      </c>
      <c r="BA246" s="56" t="n">
        <f aca="false">COS($A$10*AG246)*SIN($A$10*AZ246)</f>
        <v>0.716159855059407</v>
      </c>
      <c r="BB246" s="56" t="n">
        <f aca="false">COS($A$10*AG246)*COS($A$10*AZ246)-AW246*AY246</f>
        <v>-0.643889648166197</v>
      </c>
      <c r="BC246" s="56" t="n">
        <f aca="false">SIN($A$10*AG246)-AX246*AY246</f>
        <v>-0.306769304056001</v>
      </c>
      <c r="BD246" s="57" t="n">
        <f aca="false">SQRT(BA246^2+BB246^2+BC246^2)</f>
        <v>1.01073548613141</v>
      </c>
      <c r="BE246" s="58" t="n">
        <f aca="false">AU246*BD246</f>
        <v>382377.968606027</v>
      </c>
    </row>
    <row r="247" customFormat="false" ht="15" hidden="false" customHeight="false" outlineLevel="0" collapsed="false">
      <c r="D247" s="41" t="n">
        <f aca="false">K247-INT(275*E247/9)+IF($A$8="common year",2,1)*INT((E247+9)/12)+30</f>
        <v>3</v>
      </c>
      <c r="E247" s="41" t="n">
        <f aca="false">IF(K247&lt;32,1,INT(9*(IF($A$8="common year",2,1)+K247)/275+0.98))</f>
        <v>9</v>
      </c>
      <c r="F247" s="42" t="n">
        <f aca="false">AM247</f>
        <v>-35.5414505421992</v>
      </c>
      <c r="G247" s="60" t="n">
        <f aca="false">F247+1.02/(TAN($A$10*(F247+10.3/(F247+5.11)))*60)</f>
        <v>-35.5649524606044</v>
      </c>
      <c r="H247" s="43" t="n">
        <f aca="false">100*(1+COS($A$10*AQ247))/2</f>
        <v>41.6965953103059</v>
      </c>
      <c r="I247" s="43" t="n">
        <f aca="false">IF(AI247&gt;180,AT247-180,AT247+180)</f>
        <v>277.407578851371</v>
      </c>
      <c r="J247" s="61" t="n">
        <f aca="false">$J$2+K246</f>
        <v>2459825.5</v>
      </c>
      <c r="K247" s="21" t="n">
        <v>246</v>
      </c>
      <c r="L247" s="62" t="n">
        <f aca="false">(J247-2451545)/36525</f>
        <v>0.226707734428474</v>
      </c>
      <c r="M247" s="63" t="n">
        <f aca="false">MOD(280.46061837+360.98564736629*(J247-2451545)+0.000387933*L247^2-L247^3/38710000+$B$7,360)</f>
        <v>357.113654871937</v>
      </c>
      <c r="N247" s="30" t="n">
        <f aca="false">0.606433+1336.855225*L247 - INT(0.606433+1336.855225*L247)</f>
        <v>0.681852318617359</v>
      </c>
      <c r="O247" s="35" t="n">
        <f aca="false">22640*SIN(P247)-4586*SIN(P247-2*R247)+2370*SIN(2*R247)+769*SIN(2*P247)-668*SIN(Q247)-412*SIN(2*S247)-212*SIN(2*P247-2*R247)-206*SIN(P247+Q247-2*R247)+192*SIN(P247+2*R247)-165*SIN(Q247-2*R247)-125*SIN(R247)-110*SIN(P247+Q247)+148*SIN(P247-Q247)-55*SIN(2*S247-2*R247)</f>
        <v>-16850.1702427602</v>
      </c>
      <c r="P247" s="32" t="n">
        <f aca="false">2*PI()*(0.374897+1325.55241*L247 - INT(0.374897+1325.55241*L247))</f>
        <v>5.57871920315119</v>
      </c>
      <c r="Q247" s="36" t="n">
        <f aca="false">2*PI()*(0.993133+99.997361*L247 - INT(0.993133+99.997361*L247))</f>
        <v>4.16768809218333</v>
      </c>
      <c r="R247" s="36" t="n">
        <f aca="false">2*PI()*(0.827361+1236.853086*L247 - INT(0.827361+1236.853086*L247))</f>
        <v>1.45469530149867</v>
      </c>
      <c r="S247" s="36" t="n">
        <f aca="false">2*PI()*(0.259086+1342.227825*L247 - INT(0.259086+1342.227825*L247))</f>
        <v>3.47155596850523</v>
      </c>
      <c r="T247" s="36" t="n">
        <f aca="false">S247+(O247+412*SIN(2*S247)+541*SIN(Q247))/206264.8062</f>
        <v>3.38884531112854</v>
      </c>
      <c r="U247" s="36" t="n">
        <f aca="false">S247-2*R247</f>
        <v>0.562165365507881</v>
      </c>
      <c r="V247" s="34" t="n">
        <f aca="false">-526*SIN(U247)+44*SIN(P247+U247)-31*SIN(-P247+U247)-23*SIN(Q247+U247)+11*SIN(-Q247+U247)-25*SIN(-2*P247+S247)+21*SIN(-P247+S247)</f>
        <v>-281.670189405321</v>
      </c>
      <c r="W247" s="36" t="n">
        <f aca="false">2*PI()*(N247+O247/1296000-INT(N247+O247/1296000))</f>
        <v>4.20251253937578</v>
      </c>
      <c r="X247" s="35" t="n">
        <f aca="false">W247*180/PI()</f>
        <v>240.786231857038</v>
      </c>
      <c r="Y247" s="36" t="n">
        <f aca="false">(18520*SIN(T247)+V247)/206264.8062</f>
        <v>-0.0233402651258013</v>
      </c>
      <c r="Z247" s="36" t="n">
        <f aca="false">Y247*180/PI()</f>
        <v>-1.33729868442479</v>
      </c>
      <c r="AA247" s="36" t="n">
        <f aca="false">COS(Y247)*COS(W247)</f>
        <v>-0.487936471469266</v>
      </c>
      <c r="AB247" s="36" t="n">
        <f aca="false">COS(Y247)*SIN(W247)</f>
        <v>-0.872567092406563</v>
      </c>
      <c r="AC247" s="36" t="n">
        <f aca="false">SIN(Y247)</f>
        <v>-0.0233381460120242</v>
      </c>
      <c r="AD247" s="36" t="n">
        <f aca="false">COS($A$10*(23.4393-46.815*L247/3600))*AB247-SIN($A$10*(23.4393-46.815*L247/3600))*AC247</f>
        <v>-0.791300176766378</v>
      </c>
      <c r="AE247" s="36" t="n">
        <f aca="false">SIN($A$10*(23.4393-46.815*L247/3600))*AB247+COS($A$10*(23.4393-46.815*L247/3600))*AC247</f>
        <v>-0.368458993728774</v>
      </c>
      <c r="AF247" s="36" t="n">
        <f aca="false">SQRT(1-AE247*AE247)</f>
        <v>0.929644001723444</v>
      </c>
      <c r="AG247" s="35" t="n">
        <f aca="false">ATAN(AE247/AF247)/$A$10</f>
        <v>-21.6206107873326</v>
      </c>
      <c r="AH247" s="36" t="n">
        <f aca="false">IF(24*ATAN(AD247/(AA247+AF247))/PI()&gt;0,24*ATAN(AD247/(AA247+AF247))/PI(),24*ATAN(AD247/(AA247+AF247))/PI()+24)</f>
        <v>15.8893950715787</v>
      </c>
      <c r="AI247" s="63" t="n">
        <f aca="false">IF(M247-15*AH247&gt;0,M247-15*AH247,360+M247-15*AH247)</f>
        <v>118.772728798256</v>
      </c>
      <c r="AJ247" s="32" t="n">
        <f aca="false">0.950724+0.051818*COS(P247)+0.009531*COS(2*R247-P247)+0.007843*COS(2*R247)+0.002824*COS(2*P247)+0.000857*COS(2*R247+P247)+0.000533*COS(2*R247-Q247)*(1-0.002495*(J247-2415020)/36525)+0.000401*COS(2*R247-Q247-P247)*(1-0.002495*(J247-2415020)/36525)+0.00032*COS(P247-Q247)*(1-0.002495*(J247-2415020)/36525)-0.000271*COS(R247)</f>
        <v>0.974556951386294</v>
      </c>
      <c r="AK247" s="36" t="n">
        <f aca="false">ASIN(COS($A$10*$B$5)*COS($A$10*AG247)*COS($A$10*AI247)+SIN($A$10*$B$5)*SIN($A$10*AG247))/$A$10</f>
        <v>-34.7422188015112</v>
      </c>
      <c r="AL247" s="32" t="n">
        <f aca="false">ASIN((0.9983271+0.0016764*COS($A$10*2*$B$5))*COS($A$10*AK247)*SIN($A$10*AJ247))/$A$10</f>
        <v>0.799231740687981</v>
      </c>
      <c r="AM247" s="32" t="n">
        <f aca="false">AK247-AL247</f>
        <v>-35.5414505421992</v>
      </c>
      <c r="AN247" s="35" t="n">
        <f aca="false"> MOD(280.4664567 + 360007.6982779*L247/10 + 0.03032028*L247^2/100 + L247^3/49931000,360)</f>
        <v>162.119437622987</v>
      </c>
      <c r="AO247" s="32" t="n">
        <f aca="false"> AN247 + (1.9146 - 0.004817*L247 - 0.000014*L247^2)*SIN(Q247)+ (0.019993 - 0.000101*L247)*SIN(2*Q247)+ 0.00029*SIN(3*Q247)</f>
        <v>160.500530880888</v>
      </c>
      <c r="AP247" s="32" t="n">
        <f aca="false">ACOS(COS(W247-$A$10*AO247)*COS(Y247))/$A$10</f>
        <v>80.2883725128517</v>
      </c>
      <c r="AQ247" s="34" t="n">
        <f aca="false">180 - AP247 -0.1468*(1-0.0549*SIN(Q247))*SIN($A$10*AP247)/(1-0.0167*SIN($A$10*AO247))</f>
        <v>99.559287821624</v>
      </c>
      <c r="AR247" s="64" t="n">
        <f aca="false">SIN($A$10*AI247)</f>
        <v>0.876535882157447</v>
      </c>
      <c r="AS247" s="64" t="n">
        <f aca="false">COS($A$10*AI247)*SIN($A$10*$B$5) - TAN($A$10*AG247)*COS($A$10*$B$5)</f>
        <v>-0.113960036891092</v>
      </c>
      <c r="AT247" s="24" t="n">
        <f aca="false">IF(OR(AND(AR247*AS247&gt;0), AND(AR247&lt;0,AS247&gt;0)), MOD(ATAN2(AS247,AR247)/$A$10+360,360),  ATAN2(AS247,AR247)/$A$10)</f>
        <v>97.4075788513706</v>
      </c>
      <c r="AU247" s="39" t="n">
        <f aca="false"> 385000.56 + (-20905355*COS(P247) - 3699111*COS(2*R247-P247) - 2955968*COS(2*R247) - 569925*COS(2*P247) + (1-0.002516*L247)*48888*COS(Q247) - 3149*COS(2*S247)  +246158*COS(2*R247-2*P247) -(1 - 0.002516*L247)*152138*COS(2*R247-Q247-P247) -170733*COS(2*R247+P247) -(1 - 0.002516*L247)*204586*COS(2*R247-Q247) -(1 - 0.002516*L247)*129620*COS(Q247-P247)  + 108743*COS(R247) +(1-0.002516*L247)*104755*COS(Q247+P247) +10321*COS(2*R247-2*S247) +79661*COS(P247-2*S247) -34782*COS(4*R247-P247) -23210*COS(3*P247)  -21636*COS(4*R247-2*P247) +(1 - 0.002516*L247)*24208*COS(2*R247+Q247-P247) +(1 - 0.002516*L247)*30824*COS(2*R247+Q247) -8379*COS(R247-P247) -(1 - 0.002516*L247)*16675*COS(R247+Q247)  -(1 - 0.002516*L247)*12831*COS(2*R247-Q247+P247) -10445*COS(2*R247+2*P247) -11650*COS(4*R247) +14403*COS(2*R247-3*P247) -(1-0.002516*L247)*7003*COS(Q247-2*P247)  + (1 - 0.002516*L247)*10056*COS(2*R247-Q247-2*P247) +6322*COS(R247+P247) -(1 - 0.002516*L247)*(1-0.002516*L247)*9884*COS(2*R247-2*Q247) +(1-0.002516*L247)*5751*COS(Q247+2*P247) - (1-0.002516*L247)^2*4950*COS(2*R247-2*Q247-P247)  +4130*COS(2*R247+P247-2*S247) -(1-0.002516*L247)*3958*COS(4*R247-Q247-P247) +3258*COS(3*R247-P247) +(1 - 0.002516*L247)*2616*COS(2*R247+Q247+P247) -(1 - 0.002516*L247)*1897*COS(4*R247-Q247-2*P247)  -(1-0.002516*L247)^2*2117*COS(2*Q247-P247) +(1-0.002516*L247)^2*2354*COS(2*R247+2*Q247-P247) -1423*COS(4*R247+P247) -1117*COS(4*P247) -(1-0.002516*L247)*1571*COS(4*R247-Q247)  -1739*COS(R247-2*P247) -4421*COS(2*P247-2*S247) +(1-0.002516*L247)^2*1165*COS(2*Q247+P247) +8752*COS(2*R247-P247-2*S247))/1000</f>
        <v>374824.116317301</v>
      </c>
      <c r="AV247" s="54" t="n">
        <f aca="false">ATAN(0.99664719*TAN($A$10*input!$E$2))</f>
        <v>0.871010436227447</v>
      </c>
      <c r="AW247" s="54" t="n">
        <f aca="false">COS(AV247)</f>
        <v>0.644053912545845</v>
      </c>
      <c r="AX247" s="54" t="n">
        <f aca="false">0.99664719*SIN(AV247)</f>
        <v>0.762415269897027</v>
      </c>
      <c r="AY247" s="54" t="n">
        <f aca="false">6378.14/AU247</f>
        <v>0.0170163543975401</v>
      </c>
      <c r="AZ247" s="55" t="n">
        <f aca="false">M247-15*AH247</f>
        <v>118.772728798256</v>
      </c>
      <c r="BA247" s="56" t="n">
        <f aca="false">COS($A$10*AG247)*SIN($A$10*AZ247)</f>
        <v>0.814866325143039</v>
      </c>
      <c r="BB247" s="56" t="n">
        <f aca="false">COS($A$10*AG247)*COS($A$10*AZ247)-AW247*AY247</f>
        <v>-0.458431059998274</v>
      </c>
      <c r="BC247" s="56" t="n">
        <f aca="false">SIN($A$10*AG247)-AX247*AY247</f>
        <v>-0.381432522159438</v>
      </c>
      <c r="BD247" s="57" t="n">
        <f aca="false">SQRT(BA247^2+BB247^2+BC247^2)</f>
        <v>1.0097806363682</v>
      </c>
      <c r="BE247" s="58" t="n">
        <f aca="false">AU247*BD247</f>
        <v>378490.134701033</v>
      </c>
    </row>
    <row r="248" customFormat="false" ht="15" hidden="false" customHeight="false" outlineLevel="0" collapsed="false">
      <c r="D248" s="41" t="n">
        <f aca="false">K248-INT(275*E248/9)+IF($A$8="common year",2,1)*INT((E248+9)/12)+30</f>
        <v>4</v>
      </c>
      <c r="E248" s="41" t="n">
        <f aca="false">IF(K248&lt;32,1,INT(9*(IF($A$8="common year",2,1)+K248)/275+0.98))</f>
        <v>9</v>
      </c>
      <c r="F248" s="42" t="n">
        <f aca="false">AM248</f>
        <v>-29.2336774456393</v>
      </c>
      <c r="G248" s="60" t="n">
        <f aca="false">F248+1.02/(TAN($A$10*(F248+10.3/(F248+5.11)))*60)</f>
        <v>-29.2635292447453</v>
      </c>
      <c r="H248" s="43" t="n">
        <f aca="false">100*(1+COS($A$10*AQ248))/2</f>
        <v>52.9201917546964</v>
      </c>
      <c r="I248" s="43" t="n">
        <f aca="false">IF(AI248&gt;180,AT248-180,AT248+180)</f>
        <v>264.028054788802</v>
      </c>
      <c r="J248" s="61" t="n">
        <f aca="false">$J$2+K247</f>
        <v>2459826.5</v>
      </c>
      <c r="K248" s="21" t="n">
        <v>247</v>
      </c>
      <c r="L248" s="62" t="n">
        <f aca="false">(J248-2451545)/36525</f>
        <v>0.226735112936345</v>
      </c>
      <c r="M248" s="63" t="n">
        <f aca="false">MOD(280.46061837+360.98564736629*(J248-2451545)+0.000387933*L248^2-L248^3/38710000+$B$7,360)</f>
        <v>358.099302243441</v>
      </c>
      <c r="N248" s="30" t="n">
        <f aca="false">0.606433+1336.855225*L248 - INT(0.606433+1336.855225*L248)</f>
        <v>0.718453419917864</v>
      </c>
      <c r="O248" s="35" t="n">
        <f aca="false">22640*SIN(P248)-4586*SIN(P248-2*R248)+2370*SIN(2*R248)+769*SIN(2*P248)-668*SIN(Q248)-412*SIN(2*S248)-212*SIN(2*P248-2*R248)-206*SIN(P248+Q248-2*R248)+192*SIN(P248+2*R248)-165*SIN(Q248-2*R248)-125*SIN(R248)-110*SIN(P248+Q248)+148*SIN(P248-Q248)-55*SIN(2*S248-2*R248)</f>
        <v>-14318.4169973769</v>
      </c>
      <c r="P248" s="32" t="n">
        <f aca="false">2*PI()*(0.374897+1325.55241*L248 - INT(0.374897+1325.55241*L248))</f>
        <v>5.80674634692701</v>
      </c>
      <c r="Q248" s="36" t="n">
        <f aca="false">2*PI()*(0.993133+99.997361*L248 - INT(0.993133+99.997361*L248))</f>
        <v>4.18489006205031</v>
      </c>
      <c r="R248" s="36" t="n">
        <f aca="false">2*PI()*(0.827361+1236.853086*L248 - INT(0.827361+1236.853086*L248))</f>
        <v>1.6674640116177</v>
      </c>
      <c r="S248" s="36" t="n">
        <f aca="false">2*PI()*(0.259086+1342.227825*L248 - INT(0.259086+1342.227825*L248))</f>
        <v>3.70245168784623</v>
      </c>
      <c r="T248" s="36" t="n">
        <f aca="false">S248+(O248+412*SIN(2*S248)+541*SIN(Q248))/206264.8062</f>
        <v>3.63256710972993</v>
      </c>
      <c r="U248" s="36" t="n">
        <f aca="false">S248-2*R248</f>
        <v>0.367523664610836</v>
      </c>
      <c r="V248" s="34" t="n">
        <f aca="false">-526*SIN(U248)+44*SIN(P248+U248)-31*SIN(-P248+U248)-23*SIN(Q248+U248)+11*SIN(-Q248+U248)-25*SIN(-2*P248+S248)+21*SIN(-P248+S248)</f>
        <v>-180.478834643783</v>
      </c>
      <c r="W248" s="36" t="n">
        <f aca="false">2*PI()*(N248+O248/1296000-INT(N248+O248/1296000))</f>
        <v>4.44475832739925</v>
      </c>
      <c r="X248" s="35" t="n">
        <f aca="false">W248*180/PI()</f>
        <v>254.665893115604</v>
      </c>
      <c r="Y248" s="36" t="n">
        <f aca="false">(18520*SIN(T248)+V248)/206264.8062</f>
        <v>-0.0432084838144093</v>
      </c>
      <c r="Z248" s="36" t="n">
        <f aca="false">Y248*180/PI()</f>
        <v>-2.47566376172498</v>
      </c>
      <c r="AA248" s="36" t="n">
        <f aca="false">COS(Y248)*COS(W248)</f>
        <v>-0.264200362960041</v>
      </c>
      <c r="AB248" s="36" t="n">
        <f aca="false">COS(Y248)*SIN(W248)</f>
        <v>-0.963500055377206</v>
      </c>
      <c r="AC248" s="36" t="n">
        <f aca="false">SIN(Y248)</f>
        <v>-0.0431950402234401</v>
      </c>
      <c r="AD248" s="36" t="n">
        <f aca="false">COS($A$10*(23.4393-46.815*L248/3600))*AB248-SIN($A$10*(23.4393-46.815*L248/3600))*AC248</f>
        <v>-0.866833712925705</v>
      </c>
      <c r="AE248" s="36" t="n">
        <f aca="false">SIN($A$10*(23.4393-46.815*L248/3600))*AB248+COS($A$10*(23.4393-46.815*L248/3600))*AC248</f>
        <v>-0.422844513204581</v>
      </c>
      <c r="AF248" s="36" t="n">
        <f aca="false">SQRT(1-AE248*AE248)</f>
        <v>0.906202249860803</v>
      </c>
      <c r="AG248" s="35" t="n">
        <f aca="false">ATAN(AE248/AF248)/$A$10</f>
        <v>-25.0143042009786</v>
      </c>
      <c r="AH248" s="36" t="n">
        <f aca="false">IF(24*ATAN(AD248/(AA248+AF248))/PI()&gt;0,24*ATAN(AD248/(AA248+AF248))/PI(),24*ATAN(AD248/(AA248+AF248))/PI()+24)</f>
        <v>16.8699611208355</v>
      </c>
      <c r="AI248" s="63" t="n">
        <f aca="false">IF(M248-15*AH248&gt;0,M248-15*AH248,360+M248-15*AH248)</f>
        <v>105.049885430909</v>
      </c>
      <c r="AJ248" s="32" t="n">
        <f aca="false">0.950724+0.051818*COS(P248)+0.009531*COS(2*R248-P248)+0.007843*COS(2*R248)+0.002824*COS(2*P248)+0.000857*COS(2*R248+P248)+0.000533*COS(2*R248-Q248)*(1-0.002495*(J248-2415020)/36525)+0.000401*COS(2*R248-Q248-P248)*(1-0.002495*(J248-2415020)/36525)+0.00032*COS(P248-Q248)*(1-0.002495*(J248-2415020)/36525)-0.000271*COS(R248)</f>
        <v>0.983148366664502</v>
      </c>
      <c r="AK248" s="36" t="n">
        <f aca="false">ASIN(COS($A$10*$B$5)*COS($A$10*AG248)*COS($A$10*AI248)+SIN($A$10*$B$5)*SIN($A$10*AG248))/$A$10</f>
        <v>-28.3703189584259</v>
      </c>
      <c r="AL248" s="32" t="n">
        <f aca="false">ASIN((0.9983271+0.0016764*COS($A$10*2*$B$5))*COS($A$10*AK248)*SIN($A$10*AJ248))/$A$10</f>
        <v>0.86335848721344</v>
      </c>
      <c r="AM248" s="32" t="n">
        <f aca="false">AK248-AL248</f>
        <v>-29.2336774456393</v>
      </c>
      <c r="AN248" s="35" t="n">
        <f aca="false"> MOD(280.4664567 + 360007.6982779*L248/10 + 0.03032028*L248^2/100 + L248^3/49931000,360)</f>
        <v>163.105084986853</v>
      </c>
      <c r="AO248" s="32" t="n">
        <f aca="false"> AN248 + (1.9146 - 0.004817*L248 - 0.000014*L248^2)*SIN(Q248)+ (0.019993 - 0.000101*L248)*SIN(2*Q248)+ 0.00029*SIN(3*Q248)</f>
        <v>161.469051879734</v>
      </c>
      <c r="AP248" s="32" t="n">
        <f aca="false">ACOS(COS(W248-$A$10*AO248)*COS(Y248))/$A$10</f>
        <v>93.1938543961017</v>
      </c>
      <c r="AQ248" s="34" t="n">
        <f aca="false">180 - AP248 -0.1468*(1-0.0549*SIN(Q248))*SIN($A$10*AP248)/(1-0.0167*SIN($A$10*AO248))</f>
        <v>86.6518014435912</v>
      </c>
      <c r="AR248" s="64" t="n">
        <f aca="false">SIN($A$10*AI248)</f>
        <v>0.965700115515271</v>
      </c>
      <c r="AS248" s="64" t="n">
        <f aca="false">COS($A$10*AI248)*SIN($A$10*$B$5) - TAN($A$10*AG248)*COS($A$10*$B$5)</f>
        <v>0.101021119584764</v>
      </c>
      <c r="AT248" s="24" t="n">
        <f aca="false">IF(OR(AND(AR248*AS248&gt;0), AND(AR248&lt;0,AS248&gt;0)), MOD(ATAN2(AS248,AR248)/$A$10+360,360),  ATAN2(AS248,AR248)/$A$10)</f>
        <v>84.0280547888024</v>
      </c>
      <c r="AU248" s="39" t="n">
        <f aca="false"> 385000.56 + (-20905355*COS(P248) - 3699111*COS(2*R248-P248) - 2955968*COS(2*R248) - 569925*COS(2*P248) + (1-0.002516*L248)*48888*COS(Q248) - 3149*COS(2*S248)  +246158*COS(2*R248-2*P248) -(1 - 0.002516*L248)*152138*COS(2*R248-Q248-P248) -170733*COS(2*R248+P248) -(1 - 0.002516*L248)*204586*COS(2*R248-Q248) -(1 - 0.002516*L248)*129620*COS(Q248-P248)  + 108743*COS(R248) +(1-0.002516*L248)*104755*COS(Q248+P248) +10321*COS(2*R248-2*S248) +79661*COS(P248-2*S248) -34782*COS(4*R248-P248) -23210*COS(3*P248)  -21636*COS(4*R248-2*P248) +(1 - 0.002516*L248)*24208*COS(2*R248+Q248-P248) +(1 - 0.002516*L248)*30824*COS(2*R248+Q248) -8379*COS(R248-P248) -(1 - 0.002516*L248)*16675*COS(R248+Q248)  -(1 - 0.002516*L248)*12831*COS(2*R248-Q248+P248) -10445*COS(2*R248+2*P248) -11650*COS(4*R248) +14403*COS(2*R248-3*P248) -(1-0.002516*L248)*7003*COS(Q248-2*P248)  + (1 - 0.002516*L248)*10056*COS(2*R248-Q248-2*P248) +6322*COS(R248+P248) -(1 - 0.002516*L248)*(1-0.002516*L248)*9884*COS(2*R248-2*Q248) +(1-0.002516*L248)*5751*COS(Q248+2*P248) - (1-0.002516*L248)^2*4950*COS(2*R248-2*Q248-P248)  +4130*COS(2*R248+P248-2*S248) -(1-0.002516*L248)*3958*COS(4*R248-Q248-P248) +3258*COS(3*R248-P248) +(1 - 0.002516*L248)*2616*COS(2*R248+Q248+P248) -(1 - 0.002516*L248)*1897*COS(4*R248-Q248-2*P248)  -(1-0.002516*L248)^2*2117*COS(2*Q248-P248) +(1-0.002516*L248)^2*2354*COS(2*R248+2*Q248-P248) -1423*COS(4*R248+P248) -1117*COS(4*P248) -(1-0.002516*L248)*1571*COS(4*R248-Q248)  -1739*COS(R248-2*P248) -4421*COS(2*P248-2*S248) +(1-0.002516*L248)^2*1165*COS(2*Q248+P248) +8752*COS(2*R248-P248-2*S248))/1000</f>
        <v>371523.580078784</v>
      </c>
      <c r="AV248" s="54" t="n">
        <f aca="false">ATAN(0.99664719*TAN($A$10*input!$E$2))</f>
        <v>0.871010436227447</v>
      </c>
      <c r="AW248" s="54" t="n">
        <f aca="false">COS(AV248)</f>
        <v>0.644053912545845</v>
      </c>
      <c r="AX248" s="54" t="n">
        <f aca="false">0.99664719*SIN(AV248)</f>
        <v>0.762415269897027</v>
      </c>
      <c r="AY248" s="54" t="n">
        <f aca="false">6378.14/AU248</f>
        <v>0.0171675240603772</v>
      </c>
      <c r="AZ248" s="55" t="n">
        <f aca="false">M248-15*AH248</f>
        <v>105.049885430909</v>
      </c>
      <c r="BA248" s="56" t="n">
        <f aca="false">COS($A$10*AG248)*SIN($A$10*AZ248)</f>
        <v>0.875119617370776</v>
      </c>
      <c r="BB248" s="56" t="n">
        <f aca="false">COS($A$10*AG248)*COS($A$10*AZ248)-AW248*AY248</f>
        <v>-0.246361237146945</v>
      </c>
      <c r="BC248" s="56" t="n">
        <f aca="false">SIN($A$10*AG248)-AX248*AY248</f>
        <v>-0.435933295694537</v>
      </c>
      <c r="BD248" s="57" t="n">
        <f aca="false">SQRT(BA248^2+BB248^2+BC248^2)</f>
        <v>1.00824899810059</v>
      </c>
      <c r="BE248" s="58" t="n">
        <f aca="false">AU248*BD248</f>
        <v>374588.277385179</v>
      </c>
    </row>
    <row r="249" customFormat="false" ht="15" hidden="false" customHeight="false" outlineLevel="0" collapsed="false">
      <c r="D249" s="41" t="n">
        <f aca="false">K249-INT(275*E249/9)+IF($A$8="common year",2,1)*INT((E249+9)/12)+30</f>
        <v>5</v>
      </c>
      <c r="E249" s="41" t="n">
        <f aca="false">IF(K249&lt;32,1,INT(9*(IF($A$8="common year",2,1)+K249)/275+0.98))</f>
        <v>9</v>
      </c>
      <c r="F249" s="42" t="n">
        <f aca="false">AM249</f>
        <v>-21.4743683666905</v>
      </c>
      <c r="G249" s="60" t="n">
        <f aca="false">F249+1.02/(TAN($A$10*(F249+10.3/(F249+5.11)))*60)</f>
        <v>-21.5162263860105</v>
      </c>
      <c r="H249" s="43" t="n">
        <f aca="false">100*(1+COS($A$10*AQ249))/2</f>
        <v>64.1870022337635</v>
      </c>
      <c r="I249" s="43" t="n">
        <f aca="false">IF(AI249&gt;180,AT249-180,AT249+180)</f>
        <v>252.221009238197</v>
      </c>
      <c r="J249" s="61" t="n">
        <f aca="false">$J$2+K248</f>
        <v>2459827.5</v>
      </c>
      <c r="K249" s="21" t="n">
        <v>248</v>
      </c>
      <c r="L249" s="62" t="n">
        <f aca="false">(J249-2451545)/36525</f>
        <v>0.226762491444216</v>
      </c>
      <c r="M249" s="63" t="n">
        <f aca="false">MOD(280.46061837+360.98564736629*(J249-2451545)+0.000387933*L249^2-L249^3/38710000+$B$7,360)</f>
        <v>359.08494961448</v>
      </c>
      <c r="N249" s="30" t="n">
        <f aca="false">0.606433+1336.855225*L249 - INT(0.606433+1336.855225*L249)</f>
        <v>0.755054521218312</v>
      </c>
      <c r="O249" s="35" t="n">
        <f aca="false">22640*SIN(P249)-4586*SIN(P249-2*R249)+2370*SIN(2*R249)+769*SIN(2*P249)-668*SIN(Q249)-412*SIN(2*S249)-212*SIN(2*P249-2*R249)-206*SIN(P249+Q249-2*R249)+192*SIN(P249+2*R249)-165*SIN(Q249-2*R249)-125*SIN(R249)-110*SIN(P249+Q249)+148*SIN(P249-Q249)-55*SIN(2*S249-2*R249)</f>
        <v>-10855.121690131</v>
      </c>
      <c r="P249" s="32" t="n">
        <f aca="false">2*PI()*(0.374897+1325.55241*L249 - INT(0.374897+1325.55241*L249))</f>
        <v>6.03477349070247</v>
      </c>
      <c r="Q249" s="36" t="n">
        <f aca="false">2*PI()*(0.993133+99.997361*L249 - INT(0.993133+99.997361*L249))</f>
        <v>4.20209203191732</v>
      </c>
      <c r="R249" s="36" t="n">
        <f aca="false">2*PI()*(0.827361+1236.853086*L249 - INT(0.827361+1236.853086*L249))</f>
        <v>1.88023272173672</v>
      </c>
      <c r="S249" s="36" t="n">
        <f aca="false">2*PI()*(0.259086+1342.227825*L249 - INT(0.259086+1342.227825*L249))</f>
        <v>3.93334740718724</v>
      </c>
      <c r="T249" s="36" t="n">
        <f aca="false">S249+(O249+412*SIN(2*S249)+541*SIN(Q249))/206264.8062</f>
        <v>3.88042887242559</v>
      </c>
      <c r="U249" s="36" t="n">
        <f aca="false">S249-2*R249</f>
        <v>0.172881963713792</v>
      </c>
      <c r="V249" s="34" t="n">
        <f aca="false">-526*SIN(U249)+44*SIN(P249+U249)-31*SIN(-P249+U249)-23*SIN(Q249+U249)+11*SIN(-Q249+U249)-25*SIN(-2*P249+S249)+21*SIN(-P249+S249)</f>
        <v>-70.3478185755055</v>
      </c>
      <c r="W249" s="36" t="n">
        <f aca="false">2*PI()*(N249+O249/1296000-INT(N249+O249/1296000))</f>
        <v>4.69152035878357</v>
      </c>
      <c r="X249" s="35" t="n">
        <f aca="false">W249*180/PI()</f>
        <v>268.804316058001</v>
      </c>
      <c r="Y249" s="36" t="n">
        <f aca="false">(18520*SIN(T249)+V249)/206264.8062</f>
        <v>-0.060806471735663</v>
      </c>
      <c r="Z249" s="36" t="n">
        <f aca="false">Y249*180/PI()</f>
        <v>-3.48395419753502</v>
      </c>
      <c r="AA249" s="36" t="n">
        <f aca="false">COS(Y249)*COS(W249)</f>
        <v>-0.0208285415047874</v>
      </c>
      <c r="AB249" s="36" t="n">
        <f aca="false">COS(Y249)*SIN(W249)</f>
        <v>-0.997934516687695</v>
      </c>
      <c r="AC249" s="36" t="n">
        <f aca="false">SIN(Y249)</f>
        <v>-0.0607690074139684</v>
      </c>
      <c r="AD249" s="36" t="n">
        <f aca="false">COS($A$10*(23.4393-46.815*L249/3600))*AB249-SIN($A$10*(23.4393-46.815*L249/3600))*AC249</f>
        <v>-0.891437723583859</v>
      </c>
      <c r="AE249" s="36" t="n">
        <f aca="false">SIN($A$10*(23.4393-46.815*L249/3600))*AB249+COS($A$10*(23.4393-46.815*L249/3600))*AC249</f>
        <v>-0.452664287116192</v>
      </c>
      <c r="AF249" s="36" t="n">
        <f aca="false">SQRT(1-AE249*AE249)</f>
        <v>0.891681020976442</v>
      </c>
      <c r="AG249" s="35" t="n">
        <f aca="false">ATAN(AE249/AF249)/$A$10</f>
        <v>-26.9147507680264</v>
      </c>
      <c r="AH249" s="36" t="n">
        <f aca="false">IF(24*ATAN(AD249/(AA249+AF249))/PI()&gt;0,24*ATAN(AD249/(AA249+AF249))/PI(),24*ATAN(AD249/(AA249+AF249))/PI()+24)</f>
        <v>17.9107680852236</v>
      </c>
      <c r="AI249" s="63" t="n">
        <f aca="false">IF(M249-15*AH249&gt;0,M249-15*AH249,360+M249-15*AH249)</f>
        <v>90.4234283361267</v>
      </c>
      <c r="AJ249" s="32" t="n">
        <f aca="false">0.950724+0.051818*COS(P249)+0.009531*COS(2*R249-P249)+0.007843*COS(2*R249)+0.002824*COS(2*P249)+0.000857*COS(2*R249+P249)+0.000533*COS(2*R249-Q249)*(1-0.002495*(J249-2415020)/36525)+0.000401*COS(2*R249-Q249-P249)*(1-0.002495*(J249-2415020)/36525)+0.00032*COS(P249-Q249)*(1-0.002495*(J249-2415020)/36525)-0.000271*COS(R249)</f>
        <v>0.990953790738395</v>
      </c>
      <c r="AK249" s="36" t="n">
        <f aca="false">ASIN(COS($A$10*$B$5)*COS($A$10*AG249)*COS($A$10*AI249)+SIN($A$10*$B$5)*SIN($A$10*AG249))/$A$10</f>
        <v>-20.5482905933547</v>
      </c>
      <c r="AL249" s="32" t="n">
        <f aca="false">ASIN((0.9983271+0.0016764*COS($A$10*2*$B$5))*COS($A$10*AK249)*SIN($A$10*AJ249))/$A$10</f>
        <v>0.926077773335791</v>
      </c>
      <c r="AM249" s="32" t="n">
        <f aca="false">AK249-AL249</f>
        <v>-21.4743683666905</v>
      </c>
      <c r="AN249" s="35" t="n">
        <f aca="false"> MOD(280.4664567 + 360007.6982779*L249/10 + 0.03032028*L249^2/100 + L249^3/49931000,360)</f>
        <v>164.090732350724</v>
      </c>
      <c r="AO249" s="32" t="n">
        <f aca="false"> AN249 + (1.9146 - 0.004817*L249 - 0.000014*L249^2)*SIN(Q249)+ (0.019993 - 0.000101*L249)*SIN(2*Q249)+ 0.00029*SIN(3*Q249)</f>
        <v>162.438041572357</v>
      </c>
      <c r="AP249" s="32" t="n">
        <f aca="false">ACOS(COS(W249-$A$10*AO249)*COS(Y249))/$A$10</f>
        <v>106.335179307669</v>
      </c>
      <c r="AQ249" s="34" t="n">
        <f aca="false">180 - AP249 -0.1468*(1-0.0549*SIN(Q249))*SIN($A$10*AP249)/(1-0.0167*SIN($A$10*AO249))</f>
        <v>73.5164502864018</v>
      </c>
      <c r="AR249" s="64" t="n">
        <f aca="false">SIN($A$10*AI249)</f>
        <v>0.999972692458721</v>
      </c>
      <c r="AS249" s="64" t="n">
        <f aca="false">COS($A$10*AI249)*SIN($A$10*$B$5) - TAN($A$10*AG249)*COS($A$10*$B$5)</f>
        <v>0.320651687903383</v>
      </c>
      <c r="AT249" s="24" t="n">
        <f aca="false">IF(OR(AND(AR249*AS249&gt;0), AND(AR249&lt;0,AS249&gt;0)), MOD(ATAN2(AS249,AR249)/$A$10+360,360),  ATAN2(AS249,AR249)/$A$10)</f>
        <v>72.221009238197</v>
      </c>
      <c r="AU249" s="39" t="n">
        <f aca="false"> 385000.56 + (-20905355*COS(P249) - 3699111*COS(2*R249-P249) - 2955968*COS(2*R249) - 569925*COS(2*P249) + (1-0.002516*L249)*48888*COS(Q249) - 3149*COS(2*S249)  +246158*COS(2*R249-2*P249) -(1 - 0.002516*L249)*152138*COS(2*R249-Q249-P249) -170733*COS(2*R249+P249) -(1 - 0.002516*L249)*204586*COS(2*R249-Q249) -(1 - 0.002516*L249)*129620*COS(Q249-P249)  + 108743*COS(R249) +(1-0.002516*L249)*104755*COS(Q249+P249) +10321*COS(2*R249-2*S249) +79661*COS(P249-2*S249) -34782*COS(4*R249-P249) -23210*COS(3*P249)  -21636*COS(4*R249-2*P249) +(1 - 0.002516*L249)*24208*COS(2*R249+Q249-P249) +(1 - 0.002516*L249)*30824*COS(2*R249+Q249) -8379*COS(R249-P249) -(1 - 0.002516*L249)*16675*COS(R249+Q249)  -(1 - 0.002516*L249)*12831*COS(2*R249-Q249+P249) -10445*COS(2*R249+2*P249) -11650*COS(4*R249) +14403*COS(2*R249-3*P249) -(1-0.002516*L249)*7003*COS(Q249-2*P249)  + (1 - 0.002516*L249)*10056*COS(2*R249-Q249-2*P249) +6322*COS(R249+P249) -(1 - 0.002516*L249)*(1-0.002516*L249)*9884*COS(2*R249-2*Q249) +(1-0.002516*L249)*5751*COS(Q249+2*P249) - (1-0.002516*L249)^2*4950*COS(2*R249-2*Q249-P249)  +4130*COS(2*R249+P249-2*S249) -(1-0.002516*L249)*3958*COS(4*R249-Q249-P249) +3258*COS(3*R249-P249) +(1 - 0.002516*L249)*2616*COS(2*R249+Q249+P249) -(1 - 0.002516*L249)*1897*COS(4*R249-Q249-2*P249)  -(1-0.002516*L249)^2*2117*COS(2*Q249-P249) +(1-0.002516*L249)^2*2354*COS(2*R249+2*Q249-P249) -1423*COS(4*R249+P249) -1117*COS(4*P249) -(1-0.002516*L249)*1571*COS(4*R249-Q249)  -1739*COS(R249-2*P249) -4421*COS(2*P249-2*S249) +(1-0.002516*L249)^2*1165*COS(2*Q249+P249) +8752*COS(2*R249-P249-2*S249))/1000</f>
        <v>368599.707497989</v>
      </c>
      <c r="AV249" s="54" t="n">
        <f aca="false">ATAN(0.99664719*TAN($A$10*input!$E$2))</f>
        <v>0.871010436227447</v>
      </c>
      <c r="AW249" s="54" t="n">
        <f aca="false">COS(AV249)</f>
        <v>0.644053912545845</v>
      </c>
      <c r="AX249" s="54" t="n">
        <f aca="false">0.99664719*SIN(AV249)</f>
        <v>0.762415269897027</v>
      </c>
      <c r="AY249" s="54" t="n">
        <f aca="false">6378.14/AU249</f>
        <v>0.0173037033677918</v>
      </c>
      <c r="AZ249" s="55" t="n">
        <f aca="false">M249-15*AH249</f>
        <v>90.4234283361267</v>
      </c>
      <c r="BA249" s="56" t="n">
        <f aca="false">COS($A$10*AG249)*SIN($A$10*AZ249)</f>
        <v>0.891656671360153</v>
      </c>
      <c r="BB249" s="56" t="n">
        <f aca="false">COS($A$10*AG249)*COS($A$10*AZ249)-AW249*AY249</f>
        <v>-0.017734175549331</v>
      </c>
      <c r="BC249" s="56" t="n">
        <f aca="false">SIN($A$10*AG249)-AX249*AY249</f>
        <v>-0.465856894789565</v>
      </c>
      <c r="BD249" s="57" t="n">
        <f aca="false">SQRT(BA249^2+BB249^2+BC249^2)</f>
        <v>1.00617531622797</v>
      </c>
      <c r="BE249" s="58" t="n">
        <f aca="false">AU249*BD249</f>
        <v>370875.927253327</v>
      </c>
    </row>
    <row r="250" customFormat="false" ht="15" hidden="false" customHeight="false" outlineLevel="0" collapsed="false">
      <c r="D250" s="41" t="n">
        <f aca="false">K250-INT(275*E250/9)+IF($A$8="common year",2,1)*INT((E250+9)/12)+30</f>
        <v>6</v>
      </c>
      <c r="E250" s="41" t="n">
        <f aca="false">IF(K250&lt;32,1,INT(9*(IF($A$8="common year",2,1)+K250)/275+0.98))</f>
        <v>9</v>
      </c>
      <c r="F250" s="42" t="n">
        <f aca="false">AM250</f>
        <v>-12.6806420752076</v>
      </c>
      <c r="G250" s="60" t="n">
        <f aca="false">F250+1.02/(TAN($A$10*(F250+10.3/(F250+5.11)))*60)</f>
        <v>-12.7486172808899</v>
      </c>
      <c r="H250" s="43" t="n">
        <f aca="false">100*(1+COS($A$10*AQ250))/2</f>
        <v>74.8626420518852</v>
      </c>
      <c r="I250" s="43" t="n">
        <f aca="false">IF(AI250&gt;180,AT250-180,AT250+180)</f>
        <v>241.598907103243</v>
      </c>
      <c r="J250" s="61" t="n">
        <f aca="false">$J$2+K249</f>
        <v>2459828.5</v>
      </c>
      <c r="K250" s="21" t="n">
        <v>249</v>
      </c>
      <c r="L250" s="62" t="n">
        <f aca="false">(J250-2451545)/36525</f>
        <v>0.226789869952088</v>
      </c>
      <c r="M250" s="63" t="n">
        <f aca="false">MOD(280.46061837+360.98564736629*(J250-2451545)+0.000387933*L250^2-L250^3/38710000+$B$7,360)</f>
        <v>0.0705969855189323</v>
      </c>
      <c r="N250" s="30" t="n">
        <f aca="false">0.606433+1336.855225*L250 - INT(0.606433+1336.855225*L250)</f>
        <v>0.791655622518817</v>
      </c>
      <c r="O250" s="35" t="n">
        <f aca="false">22640*SIN(P250)-4586*SIN(P250-2*R250)+2370*SIN(2*R250)+769*SIN(2*P250)-668*SIN(Q250)-412*SIN(2*S250)-212*SIN(2*P250-2*R250)-206*SIN(P250+Q250-2*R250)+192*SIN(P250+2*R250)-165*SIN(Q250-2*R250)-125*SIN(R250)-110*SIN(P250+Q250)+148*SIN(P250-Q250)-55*SIN(2*S250-2*R250)</f>
        <v>-6525.47185722468</v>
      </c>
      <c r="P250" s="32" t="n">
        <f aca="false">2*PI()*(0.374897+1325.55241*L250 - INT(0.374897+1325.55241*L250))</f>
        <v>6.26280063447829</v>
      </c>
      <c r="Q250" s="36" t="n">
        <f aca="false">2*PI()*(0.993133+99.997361*L250 - INT(0.993133+99.997361*L250))</f>
        <v>4.2192940017843</v>
      </c>
      <c r="R250" s="36" t="n">
        <f aca="false">2*PI()*(0.827361+1236.853086*L250 - INT(0.827361+1236.853086*L250))</f>
        <v>2.09300143185575</v>
      </c>
      <c r="S250" s="36" t="n">
        <f aca="false">2*PI()*(0.259086+1342.227825*L250 - INT(0.259086+1342.227825*L250))</f>
        <v>4.16424312652824</v>
      </c>
      <c r="T250" s="36" t="n">
        <f aca="false">S250+(O250+412*SIN(2*S250)+541*SIN(Q250))/206264.8062</f>
        <v>4.13207311233569</v>
      </c>
      <c r="U250" s="36" t="n">
        <f aca="false">S250-2*R250</f>
        <v>-0.0217597371832525</v>
      </c>
      <c r="V250" s="34" t="n">
        <f aca="false">-526*SIN(U250)+44*SIN(P250+U250)-31*SIN(-P250+U250)-23*SIN(Q250+U250)+11*SIN(-Q250+U250)-25*SIN(-2*P250+S250)+21*SIN(-P250+S250)</f>
        <v>43.1603941998945</v>
      </c>
      <c r="W250" s="36" t="n">
        <f aca="false">2*PI()*(N250+O250/1296000-INT(N250+O250/1296000))</f>
        <v>4.94248259543556</v>
      </c>
      <c r="X250" s="35" t="n">
        <f aca="false">W250*180/PI()</f>
        <v>283.183393035323</v>
      </c>
      <c r="Y250" s="36" t="n">
        <f aca="false">(18520*SIN(T250)+V250)/206264.8062</f>
        <v>-0.0748790912119143</v>
      </c>
      <c r="Z250" s="36" t="n">
        <f aca="false">Y250*180/PI()</f>
        <v>-4.29025590021782</v>
      </c>
      <c r="AA250" s="36" t="n">
        <f aca="false">COS(Y250)*COS(W250)</f>
        <v>0.227429594406532</v>
      </c>
      <c r="AB250" s="36" t="n">
        <f aca="false">COS(Y250)*SIN(W250)</f>
        <v>-0.970916769082004</v>
      </c>
      <c r="AC250" s="36" t="n">
        <f aca="false">SIN(Y250)</f>
        <v>-0.0748091378338493</v>
      </c>
      <c r="AD250" s="36" t="n">
        <f aca="false">COS($A$10*(23.4393-46.815*L250/3600))*AB250-SIN($A$10*(23.4393-46.815*L250/3600))*AC250</f>
        <v>-0.861064694043915</v>
      </c>
      <c r="AE250" s="36" t="n">
        <f aca="false">SIN($A$10*(23.4393-46.815*L250/3600))*AB250+COS($A$10*(23.4393-46.815*L250/3600))*AC250</f>
        <v>-0.454800365280351</v>
      </c>
      <c r="AF250" s="36" t="n">
        <f aca="false">SQRT(1-AE250*AE250)</f>
        <v>0.890593413259305</v>
      </c>
      <c r="AG250" s="35" t="n">
        <f aca="false">ATAN(AE250/AF250)/$A$10</f>
        <v>-27.0520901166302</v>
      </c>
      <c r="AH250" s="36" t="n">
        <f aca="false">IF(24*ATAN(AD250/(AA250+AF250))/PI()&gt;0,24*ATAN(AD250/(AA250+AF250))/PI(),24*ATAN(AD250/(AA250+AF250))/PI()+24)</f>
        <v>18.9863618406198</v>
      </c>
      <c r="AI250" s="63" t="n">
        <f aca="false">IF(M250-15*AH250&gt;0,M250-15*AH250,360+M250-15*AH250)</f>
        <v>75.2751693762224</v>
      </c>
      <c r="AJ250" s="32" t="n">
        <f aca="false">0.950724+0.051818*COS(P250)+0.009531*COS(2*R250-P250)+0.007843*COS(2*R250)+0.002824*COS(2*P250)+0.000857*COS(2*R250+P250)+0.000533*COS(2*R250-Q250)*(1-0.002495*(J250-2415020)/36525)+0.000401*COS(2*R250-Q250-P250)*(1-0.002495*(J250-2415020)/36525)+0.00032*COS(P250-Q250)*(1-0.002495*(J250-2415020)/36525)-0.000271*COS(R250)</f>
        <v>0.997268105440415</v>
      </c>
      <c r="AK250" s="36" t="n">
        <f aca="false">ASIN(COS($A$10*$B$5)*COS($A$10*AG250)*COS($A$10*AI250)+SIN($A$10*$B$5)*SIN($A$10*AG250))/$A$10</f>
        <v>-11.7060358203702</v>
      </c>
      <c r="AL250" s="32" t="n">
        <f aca="false">ASIN((0.9983271+0.0016764*COS($A$10*2*$B$5))*COS($A$10*AK250)*SIN($A$10*AJ250))/$A$10</f>
        <v>0.974606254837401</v>
      </c>
      <c r="AM250" s="32" t="n">
        <f aca="false">AK250-AL250</f>
        <v>-12.6806420752076</v>
      </c>
      <c r="AN250" s="35" t="n">
        <f aca="false"> MOD(280.4664567 + 360007.6982779*L250/10 + 0.03032028*L250^2/100 + L250^3/49931000,360)</f>
        <v>165.076379714592</v>
      </c>
      <c r="AO250" s="32" t="n">
        <f aca="false"> AN250 + (1.9146 - 0.004817*L250 - 0.000014*L250^2)*SIN(Q250)+ (0.019993 - 0.000101*L250)*SIN(2*Q250)+ 0.00029*SIN(3*Q250)</f>
        <v>163.407505162147</v>
      </c>
      <c r="AP250" s="32" t="n">
        <f aca="false">ACOS(COS(W250-$A$10*AO250)*COS(Y250))/$A$10</f>
        <v>119.684071666196</v>
      </c>
      <c r="AQ250" s="34" t="n">
        <f aca="false">180 - AP250 -0.1468*(1-0.0549*SIN(Q250))*SIN($A$10*AP250)/(1-0.0167*SIN($A$10*AO250))</f>
        <v>60.1815847490512</v>
      </c>
      <c r="AR250" s="64" t="n">
        <f aca="false">SIN($A$10*AI250)</f>
        <v>0.967157689307103</v>
      </c>
      <c r="AS250" s="64" t="n">
        <f aca="false">COS($A$10*AI250)*SIN($A$10*$B$5) - TAN($A$10*AG250)*COS($A$10*$B$5)</f>
        <v>0.522964053666452</v>
      </c>
      <c r="AT250" s="24" t="n">
        <f aca="false">IF(OR(AND(AR250*AS250&gt;0), AND(AR250&lt;0,AS250&gt;0)), MOD(ATAN2(AS250,AR250)/$A$10+360,360),  ATAN2(AS250,AR250)/$A$10)</f>
        <v>61.5989071032432</v>
      </c>
      <c r="AU250" s="39" t="n">
        <f aca="false"> 385000.56 + (-20905355*COS(P250) - 3699111*COS(2*R250-P250) - 2955968*COS(2*R250) - 569925*COS(2*P250) + (1-0.002516*L250)*48888*COS(Q250) - 3149*COS(2*S250)  +246158*COS(2*R250-2*P250) -(1 - 0.002516*L250)*152138*COS(2*R250-Q250-P250) -170733*COS(2*R250+P250) -(1 - 0.002516*L250)*204586*COS(2*R250-Q250) -(1 - 0.002516*L250)*129620*COS(Q250-P250)  + 108743*COS(R250) +(1-0.002516*L250)*104755*COS(Q250+P250) +10321*COS(2*R250-2*S250) +79661*COS(P250-2*S250) -34782*COS(4*R250-P250) -23210*COS(3*P250)  -21636*COS(4*R250-2*P250) +(1 - 0.002516*L250)*24208*COS(2*R250+Q250-P250) +(1 - 0.002516*L250)*30824*COS(2*R250+Q250) -8379*COS(R250-P250) -(1 - 0.002516*L250)*16675*COS(R250+Q250)  -(1 - 0.002516*L250)*12831*COS(2*R250-Q250+P250) -10445*COS(2*R250+2*P250) -11650*COS(4*R250) +14403*COS(2*R250-3*P250) -(1-0.002516*L250)*7003*COS(Q250-2*P250)  + (1 - 0.002516*L250)*10056*COS(2*R250-Q250-2*P250) +6322*COS(R250+P250) -(1 - 0.002516*L250)*(1-0.002516*L250)*9884*COS(2*R250-2*Q250) +(1-0.002516*L250)*5751*COS(Q250+2*P250) - (1-0.002516*L250)^2*4950*COS(2*R250-2*Q250-P250)  +4130*COS(2*R250+P250-2*S250) -(1-0.002516*L250)*3958*COS(4*R250-Q250-P250) +3258*COS(3*R250-P250) +(1 - 0.002516*L250)*2616*COS(2*R250+Q250+P250) -(1 - 0.002516*L250)*1897*COS(4*R250-Q250-2*P250)  -(1-0.002516*L250)^2*2117*COS(2*Q250-P250) +(1-0.002516*L250)^2*2354*COS(2*R250+2*Q250-P250) -1423*COS(4*R250+P250) -1117*COS(4*P250) -(1-0.002516*L250)*1571*COS(4*R250-Q250)  -1739*COS(R250-2*P250) -4421*COS(2*P250-2*S250) +(1-0.002516*L250)^2*1165*COS(2*Q250+P250) +8752*COS(2*R250-P250-2*S250))/1000</f>
        <v>366288.621282119</v>
      </c>
      <c r="AV250" s="54" t="n">
        <f aca="false">ATAN(0.99664719*TAN($A$10*input!$E$2))</f>
        <v>0.871010436227447</v>
      </c>
      <c r="AW250" s="54" t="n">
        <f aca="false">COS(AV250)</f>
        <v>0.644053912545845</v>
      </c>
      <c r="AX250" s="54" t="n">
        <f aca="false">0.99664719*SIN(AV250)</f>
        <v>0.762415269897027</v>
      </c>
      <c r="AY250" s="54" t="n">
        <f aca="false">6378.14/AU250</f>
        <v>0.0174128805248567</v>
      </c>
      <c r="AZ250" s="55" t="n">
        <f aca="false">M250-15*AH250</f>
        <v>-284.724830623778</v>
      </c>
      <c r="BA250" s="56" t="n">
        <f aca="false">COS($A$10*AG250)*SIN($A$10*AZ250)</f>
        <v>0.861344267679995</v>
      </c>
      <c r="BB250" s="56" t="n">
        <f aca="false">COS($A$10*AG250)*COS($A$10*AZ250)-AW250*AY250</f>
        <v>0.215153627478866</v>
      </c>
      <c r="BC250" s="56" t="n">
        <f aca="false">SIN($A$10*AG250)-AX250*AY250</f>
        <v>-0.468076211285394</v>
      </c>
      <c r="BD250" s="57" t="n">
        <f aca="false">SQRT(BA250^2+BB250^2+BC250^2)</f>
        <v>1.00364354750767</v>
      </c>
      <c r="BE250" s="58" t="n">
        <f aca="false">AU250*BD250</f>
        <v>367623.211275281</v>
      </c>
    </row>
    <row r="251" customFormat="false" ht="15" hidden="false" customHeight="false" outlineLevel="0" collapsed="false">
      <c r="D251" s="41" t="n">
        <f aca="false">K251-INT(275*E251/9)+IF($A$8="common year",2,1)*INT((E251+9)/12)+30</f>
        <v>7</v>
      </c>
      <c r="E251" s="41" t="n">
        <f aca="false">IF(K251&lt;32,1,INT(9*(IF($A$8="common year",2,1)+K251)/275+0.98))</f>
        <v>9</v>
      </c>
      <c r="F251" s="42" t="n">
        <f aca="false">AM251</f>
        <v>-3.22410923397059</v>
      </c>
      <c r="G251" s="60" t="n">
        <f aca="false">F251+1.02/(TAN($A$10*(F251+10.3/(F251+5.11)))*60)</f>
        <v>-2.78901082351454</v>
      </c>
      <c r="H251" s="43" t="n">
        <f aca="false">100*(1+COS($A$10*AQ251))/2</f>
        <v>84.2893473317983</v>
      </c>
      <c r="I251" s="43" t="n">
        <f aca="false">IF(AI251&gt;180,AT251-180,AT251+180)</f>
        <v>231.681738715524</v>
      </c>
      <c r="J251" s="61" t="n">
        <f aca="false">$J$2+K250</f>
        <v>2459829.5</v>
      </c>
      <c r="K251" s="21" t="n">
        <v>250</v>
      </c>
      <c r="L251" s="62" t="n">
        <f aca="false">(J251-2451545)/36525</f>
        <v>0.226817248459959</v>
      </c>
      <c r="M251" s="63" t="n">
        <f aca="false">MOD(280.46061837+360.98564736629*(J251-2451545)+0.000387933*L251^2-L251^3/38710000+$B$7,360)</f>
        <v>1.05624435702339</v>
      </c>
      <c r="N251" s="30" t="n">
        <f aca="false">0.606433+1336.855225*L251 - INT(0.606433+1336.855225*L251)</f>
        <v>0.828256723819266</v>
      </c>
      <c r="O251" s="35" t="n">
        <f aca="false">22640*SIN(P251)-4586*SIN(P251-2*R251)+2370*SIN(2*R251)+769*SIN(2*P251)-668*SIN(Q251)-412*SIN(2*S251)-212*SIN(2*P251-2*R251)-206*SIN(P251+Q251-2*R251)+192*SIN(P251+2*R251)-165*SIN(Q251-2*R251)-125*SIN(R251)-110*SIN(P251+Q251)+148*SIN(P251-Q251)-55*SIN(2*S251-2*R251)</f>
        <v>-1505.42947824606</v>
      </c>
      <c r="P251" s="32" t="n">
        <f aca="false">2*PI()*(0.374897+1325.55241*L251 - INT(0.374897+1325.55241*L251))</f>
        <v>0.20764247107452</v>
      </c>
      <c r="Q251" s="36" t="n">
        <f aca="false">2*PI()*(0.993133+99.997361*L251 - INT(0.993133+99.997361*L251))</f>
        <v>4.23649597165131</v>
      </c>
      <c r="R251" s="36" t="n">
        <f aca="false">2*PI()*(0.827361+1236.853086*L251 - INT(0.827361+1236.853086*L251))</f>
        <v>2.30577014197477</v>
      </c>
      <c r="S251" s="36" t="n">
        <f aca="false">2*PI()*(0.259086+1342.227825*L251 - INT(0.259086+1342.227825*L251))</f>
        <v>4.39513884586925</v>
      </c>
      <c r="T251" s="36" t="n">
        <f aca="false">S251+(O251+412*SIN(2*S251)+541*SIN(Q251))/206264.8062</f>
        <v>4.38669294381376</v>
      </c>
      <c r="U251" s="36" t="n">
        <f aca="false">S251-2*R251</f>
        <v>-0.216401438080297</v>
      </c>
      <c r="V251" s="34" t="n">
        <f aca="false">-526*SIN(U251)+44*SIN(P251+U251)-31*SIN(-P251+U251)-23*SIN(Q251+U251)+11*SIN(-Q251+U251)-25*SIN(-2*P251+S251)+21*SIN(-P251+S251)</f>
        <v>154.06121733137</v>
      </c>
      <c r="W251" s="36" t="n">
        <f aca="false">2*PI()*(N251+O251/1296000-INT(N251+O251/1296000))</f>
        <v>5.19679194960392</v>
      </c>
      <c r="X251" s="35" t="n">
        <f aca="false">W251*180/PI()</f>
        <v>297.754245719867</v>
      </c>
      <c r="Y251" s="36" t="n">
        <f aca="false">(18520*SIN(T251)+V251)/206264.8062</f>
        <v>-0.0843202978944091</v>
      </c>
      <c r="Z251" s="36" t="n">
        <f aca="false">Y251*180/PI()</f>
        <v>-4.83119719663548</v>
      </c>
      <c r="AA251" s="36" t="n">
        <f aca="false">COS(Y251)*COS(W251)</f>
        <v>0.464025606430829</v>
      </c>
      <c r="AB251" s="36" t="n">
        <f aca="false">COS(Y251)*SIN(W251)</f>
        <v>-0.881809025957229</v>
      </c>
      <c r="AC251" s="36" t="n">
        <f aca="false">SIN(Y251)</f>
        <v>-0.0842204150836656</v>
      </c>
      <c r="AD251" s="36" t="n">
        <f aca="false">COS($A$10*(23.4393-46.815*L251/3600))*AB251-SIN($A$10*(23.4393-46.815*L251/3600))*AC251</f>
        <v>-0.775564973946957</v>
      </c>
      <c r="AE251" s="36" t="n">
        <f aca="false">SIN($A$10*(23.4393-46.815*L251/3600))*AB251+COS($A$10*(23.4393-46.815*L251/3600))*AC251</f>
        <v>-0.427994401555858</v>
      </c>
      <c r="AF251" s="36" t="n">
        <f aca="false">SQRT(1-AE251*AE251)</f>
        <v>0.903781385201556</v>
      </c>
      <c r="AG251" s="35" t="n">
        <f aca="false">ATAN(AE251/AF251)/$A$10</f>
        <v>-25.3403470066006</v>
      </c>
      <c r="AH251" s="36" t="n">
        <f aca="false">IF(24*ATAN(AD251/(AA251+AF251))/PI()&gt;0,24*ATAN(AD251/(AA251+AF251))/PI(),24*ATAN(AD251/(AA251+AF251))/PI()+24)</f>
        <v>20.0594906392928</v>
      </c>
      <c r="AI251" s="63" t="n">
        <f aca="false">IF(M251-15*AH251&gt;0,M251-15*AH251,360+M251-15*AH251)</f>
        <v>60.1638847676313</v>
      </c>
      <c r="AJ251" s="32" t="n">
        <f aca="false">0.950724+0.051818*COS(P251)+0.009531*COS(2*R251-P251)+0.007843*COS(2*R251)+0.002824*COS(2*P251)+0.000857*COS(2*R251+P251)+0.000533*COS(2*R251-Q251)*(1-0.002495*(J251-2415020)/36525)+0.000401*COS(2*R251-Q251-P251)*(1-0.002495*(J251-2415020)/36525)+0.00032*COS(P251-Q251)*(1-0.002495*(J251-2415020)/36525)-0.000271*COS(R251)</f>
        <v>1.00128967998771</v>
      </c>
      <c r="AK251" s="36" t="n">
        <f aca="false">ASIN(COS($A$10*$B$5)*COS($A$10*AG251)*COS($A$10*AI251)+SIN($A$10*$B$5)*SIN($A$10*AG251))/$A$10</f>
        <v>-2.2255401506183</v>
      </c>
      <c r="AL251" s="32" t="n">
        <f aca="false">ASIN((0.9983271+0.0016764*COS($A$10*2*$B$5))*COS($A$10*AK251)*SIN($A$10*AJ251))/$A$10</f>
        <v>0.998569083352289</v>
      </c>
      <c r="AM251" s="32" t="n">
        <f aca="false">AK251-AL251</f>
        <v>-3.22410923397059</v>
      </c>
      <c r="AN251" s="35" t="n">
        <f aca="false"> MOD(280.4664567 + 360007.6982779*L251/10 + 0.03032028*L251^2/100 + L251^3/49931000,360)</f>
        <v>166.06202707846</v>
      </c>
      <c r="AO251" s="32" t="n">
        <f aca="false"> AN251 + (1.9146 - 0.004817*L251 - 0.000014*L251^2)*SIN(Q251)+ (0.019993 - 0.000101*L251)*SIN(2*Q251)+ 0.00029*SIN(3*Q251)</f>
        <v>164.377447730228</v>
      </c>
      <c r="AP251" s="32" t="n">
        <f aca="false">ACOS(COS(W251-$A$10*AO251)*COS(Y251))/$A$10</f>
        <v>133.184757535164</v>
      </c>
      <c r="AQ251" s="34" t="n">
        <f aca="false">180 - AP251 -0.1468*(1-0.0549*SIN(Q251))*SIN($A$10*AP251)/(1-0.0167*SIN($A$10*AO251))</f>
        <v>46.7024724906815</v>
      </c>
      <c r="AR251" s="64" t="n">
        <f aca="false">SIN($A$10*AI251)</f>
        <v>0.867452023546129</v>
      </c>
      <c r="AS251" s="64" t="n">
        <f aca="false">COS($A$10*AI251)*SIN($A$10*$B$5) - TAN($A$10*AG251)*COS($A$10*$B$5)</f>
        <v>0.685521354385656</v>
      </c>
      <c r="AT251" s="24" t="n">
        <f aca="false">IF(OR(AND(AR251*AS251&gt;0), AND(AR251&lt;0,AS251&gt;0)), MOD(ATAN2(AS251,AR251)/$A$10+360,360),  ATAN2(AS251,AR251)/$A$10)</f>
        <v>51.6817387155241</v>
      </c>
      <c r="AU251" s="39" t="n">
        <f aca="false"> 385000.56 + (-20905355*COS(P251) - 3699111*COS(2*R251-P251) - 2955968*COS(2*R251) - 569925*COS(2*P251) + (1-0.002516*L251)*48888*COS(Q251) - 3149*COS(2*S251)  +246158*COS(2*R251-2*P251) -(1 - 0.002516*L251)*152138*COS(2*R251-Q251-P251) -170733*COS(2*R251+P251) -(1 - 0.002516*L251)*204586*COS(2*R251-Q251) -(1 - 0.002516*L251)*129620*COS(Q251-P251)  + 108743*COS(R251) +(1-0.002516*L251)*104755*COS(Q251+P251) +10321*COS(2*R251-2*S251) +79661*COS(P251-2*S251) -34782*COS(4*R251-P251) -23210*COS(3*P251)  -21636*COS(4*R251-2*P251) +(1 - 0.002516*L251)*24208*COS(2*R251+Q251-P251) +(1 - 0.002516*L251)*30824*COS(2*R251+Q251) -8379*COS(R251-P251) -(1 - 0.002516*L251)*16675*COS(R251+Q251)  -(1 - 0.002516*L251)*12831*COS(2*R251-Q251+P251) -10445*COS(2*R251+2*P251) -11650*COS(4*R251) +14403*COS(2*R251-3*P251) -(1-0.002516*L251)*7003*COS(Q251-2*P251)  + (1 - 0.002516*L251)*10056*COS(2*R251-Q251-2*P251) +6322*COS(R251+P251) -(1 - 0.002516*L251)*(1-0.002516*L251)*9884*COS(2*R251-2*Q251) +(1-0.002516*L251)*5751*COS(Q251+2*P251) - (1-0.002516*L251)^2*4950*COS(2*R251-2*Q251-P251)  +4130*COS(2*R251+P251-2*S251) -(1-0.002516*L251)*3958*COS(4*R251-Q251-P251) +3258*COS(3*R251-P251) +(1 - 0.002516*L251)*2616*COS(2*R251+Q251+P251) -(1 - 0.002516*L251)*1897*COS(4*R251-Q251-2*P251)  -(1-0.002516*L251)^2*2117*COS(2*Q251-P251) +(1-0.002516*L251)^2*2354*COS(2*R251+2*Q251-P251) -1423*COS(4*R251+P251) -1117*COS(4*P251) -(1-0.002516*L251)*1571*COS(4*R251-Q251)  -1739*COS(R251-2*P251) -4421*COS(2*P251-2*S251) +(1-0.002516*L251)^2*1165*COS(2*Q251+P251) +8752*COS(2*R251-P251-2*S251))/1000</f>
        <v>364851.017222595</v>
      </c>
      <c r="AV251" s="54" t="n">
        <f aca="false">ATAN(0.99664719*TAN($A$10*input!$E$2))</f>
        <v>0.871010436227447</v>
      </c>
      <c r="AW251" s="54" t="n">
        <f aca="false">COS(AV251)</f>
        <v>0.644053912545845</v>
      </c>
      <c r="AX251" s="54" t="n">
        <f aca="false">0.99664719*SIN(AV251)</f>
        <v>0.762415269897027</v>
      </c>
      <c r="AY251" s="54" t="n">
        <f aca="false">6378.14/AU251</f>
        <v>0.0174814916196567</v>
      </c>
      <c r="AZ251" s="55" t="n">
        <f aca="false">M251-15*AH251</f>
        <v>-299.836115232369</v>
      </c>
      <c r="BA251" s="56" t="n">
        <f aca="false">COS($A$10*AG251)*SIN($A$10*AZ251)</f>
        <v>0.783986991436412</v>
      </c>
      <c r="BB251" s="56" t="n">
        <f aca="false">COS($A$10*AG251)*COS($A$10*AZ251)-AW251*AY251</f>
        <v>0.43839105142241</v>
      </c>
      <c r="BC251" s="56" t="n">
        <f aca="false">SIN($A$10*AG251)-AX251*AY251</f>
        <v>-0.441322557707261</v>
      </c>
      <c r="BD251" s="57" t="n">
        <f aca="false">SQRT(BA251^2+BB251^2+BC251^2)</f>
        <v>1.00079364339011</v>
      </c>
      <c r="BE251" s="58" t="n">
        <f aca="false">AU251*BD251</f>
        <v>365140.578820787</v>
      </c>
    </row>
    <row r="252" customFormat="false" ht="15" hidden="false" customHeight="false" outlineLevel="0" collapsed="false">
      <c r="D252" s="41" t="n">
        <f aca="false">K252-INT(275*E252/9)+IF($A$8="common year",2,1)*INT((E252+9)/12)+30</f>
        <v>8</v>
      </c>
      <c r="E252" s="41" t="n">
        <f aca="false">IF(K252&lt;32,1,INT(9*(IF($A$8="common year",2,1)+K252)/275+0.98))</f>
        <v>9</v>
      </c>
      <c r="F252" s="42" t="n">
        <f aca="false">AM252</f>
        <v>6.54308054948407</v>
      </c>
      <c r="G252" s="60" t="n">
        <f aca="false">F252+1.02/(TAN($A$10*(F252+10.3/(F252+5.11)))*60)</f>
        <v>6.67349269660506</v>
      </c>
      <c r="H252" s="43" t="n">
        <f aca="false">100*(1+COS($A$10*AQ252))/2</f>
        <v>91.8519686845663</v>
      </c>
      <c r="I252" s="43" t="n">
        <f aca="false">IF(AI252&gt;180,AT252-180,AT252+180)</f>
        <v>221.970219149574</v>
      </c>
      <c r="J252" s="61" t="n">
        <f aca="false">$J$2+K251</f>
        <v>2459830.5</v>
      </c>
      <c r="K252" s="21" t="n">
        <v>251</v>
      </c>
      <c r="L252" s="62" t="n">
        <f aca="false">(J252-2451545)/36525</f>
        <v>0.22684462696783</v>
      </c>
      <c r="M252" s="63" t="n">
        <f aca="false">MOD(280.46061837+360.98564736629*(J252-2451545)+0.000387933*L252^2-L252^3/38710000+$B$7,360)</f>
        <v>2.04189172759652</v>
      </c>
      <c r="N252" s="30" t="n">
        <f aca="false">0.606433+1336.855225*L252 - INT(0.606433+1336.855225*L252)</f>
        <v>0.864857825119771</v>
      </c>
      <c r="O252" s="35" t="n">
        <f aca="false">22640*SIN(P252)-4586*SIN(P252-2*R252)+2370*SIN(2*R252)+769*SIN(2*P252)-668*SIN(Q252)-412*SIN(2*S252)-212*SIN(2*P252-2*R252)-206*SIN(P252+Q252-2*R252)+192*SIN(P252+2*R252)-165*SIN(Q252-2*R252)-125*SIN(R252)-110*SIN(P252+Q252)+148*SIN(P252-Q252)-55*SIN(2*S252-2*R252)</f>
        <v>3911.52497758561</v>
      </c>
      <c r="P252" s="32" t="n">
        <f aca="false">2*PI()*(0.374897+1325.55241*L252 - INT(0.374897+1325.55241*L252))</f>
        <v>0.435669614850338</v>
      </c>
      <c r="Q252" s="36" t="n">
        <f aca="false">2*PI()*(0.993133+99.997361*L252 - INT(0.993133+99.997361*L252))</f>
        <v>4.2536979415183</v>
      </c>
      <c r="R252" s="36" t="n">
        <f aca="false">2*PI()*(0.827361+1236.853086*L252 - INT(0.827361+1236.853086*L252))</f>
        <v>2.51853885209344</v>
      </c>
      <c r="S252" s="36" t="n">
        <f aca="false">2*PI()*(0.259086+1342.227825*L252 - INT(0.259086+1342.227825*L252))</f>
        <v>4.62603456521025</v>
      </c>
      <c r="T252" s="36" t="n">
        <f aca="false">S252+(O252+412*SIN(2*S252)+541*SIN(Q252))/206264.8062</f>
        <v>4.64298970892176</v>
      </c>
      <c r="U252" s="36" t="n">
        <f aca="false">S252-2*R252</f>
        <v>-0.411043138976627</v>
      </c>
      <c r="V252" s="34" t="n">
        <f aca="false">-526*SIN(U252)+44*SIN(P252+U252)-31*SIN(-P252+U252)-23*SIN(Q252+U252)+11*SIN(-Q252+U252)-25*SIN(-2*P252+S252)+21*SIN(-P252+S252)</f>
        <v>256.482723395516</v>
      </c>
      <c r="W252" s="36" t="n">
        <f aca="false">2*PI()*(N252+O252/1296000-INT(N252+O252/1296000))</f>
        <v>5.45302558782319</v>
      </c>
      <c r="X252" s="35" t="n">
        <f aca="false">W252*180/PI()</f>
        <v>312.435351759113</v>
      </c>
      <c r="Y252" s="36" t="n">
        <f aca="false">(18520*SIN(T252)+V252)/206264.8062</f>
        <v>-0.0883278972889359</v>
      </c>
      <c r="Z252" s="36" t="n">
        <f aca="false">Y252*180/PI()</f>
        <v>-5.06081572792105</v>
      </c>
      <c r="AA252" s="36" t="n">
        <f aca="false">COS(Y252)*COS(W252)</f>
        <v>0.67212743146843</v>
      </c>
      <c r="AB252" s="36" t="n">
        <f aca="false">COS(Y252)*SIN(W252)</f>
        <v>-0.735162000368466</v>
      </c>
      <c r="AC252" s="36" t="n">
        <f aca="false">SIN(Y252)</f>
        <v>-0.0882130890621526</v>
      </c>
      <c r="AD252" s="36" t="n">
        <f aca="false">COS($A$10*(23.4393-46.815*L252/3600))*AB252-SIN($A$10*(23.4393-46.815*L252/3600))*AC252</f>
        <v>-0.639427960618463</v>
      </c>
      <c r="AE252" s="36" t="n">
        <f aca="false">SIN($A$10*(23.4393-46.815*L252/3600))*AB252+COS($A$10*(23.4393-46.815*L252/3600))*AC252</f>
        <v>-0.373331754672657</v>
      </c>
      <c r="AF252" s="36" t="n">
        <f aca="false">SQRT(1-AE252*AE252)</f>
        <v>0.92769790392834</v>
      </c>
      <c r="AG252" s="35" t="n">
        <f aca="false">ATAN(AE252/AF252)/$A$10</f>
        <v>-21.9212425614595</v>
      </c>
      <c r="AH252" s="36" t="n">
        <f aca="false">IF(24*ATAN(AD252/(AA252+AF252))/PI()&gt;0,24*ATAN(AD252/(AA252+AF252))/PI(),24*ATAN(AD252/(AA252+AF252))/PI()+24)</f>
        <v>21.0952128357281</v>
      </c>
      <c r="AI252" s="63" t="n">
        <f aca="false">IF(M252-15*AH252&gt;0,M252-15*AH252,360+M252-15*AH252)</f>
        <v>45.6136991916752</v>
      </c>
      <c r="AJ252" s="32" t="n">
        <f aca="false">0.950724+0.051818*COS(P252)+0.009531*COS(2*R252-P252)+0.007843*COS(2*R252)+0.002824*COS(2*P252)+0.000857*COS(2*R252+P252)+0.000533*COS(2*R252-Q252)*(1-0.002495*(J252-2415020)/36525)+0.000401*COS(2*R252-Q252-P252)*(1-0.002495*(J252-2415020)/36525)+0.00032*COS(P252-Q252)*(1-0.002495*(J252-2415020)/36525)-0.000271*COS(R252)</f>
        <v>1.00228036592164</v>
      </c>
      <c r="AK252" s="36" t="n">
        <f aca="false">ASIN(COS($A$10*$B$5)*COS($A$10*AG252)*COS($A$10*AI252)+SIN($A$10*$B$5)*SIN($A$10*AG252))/$A$10</f>
        <v>7.53475418024978</v>
      </c>
      <c r="AL252" s="32" t="n">
        <f aca="false">ASIN((0.9983271+0.0016764*COS($A$10*2*$B$5))*COS($A$10*AK252)*SIN($A$10*AJ252))/$A$10</f>
        <v>0.991673630765708</v>
      </c>
      <c r="AM252" s="32" t="n">
        <f aca="false">AK252-AL252</f>
        <v>6.54308054948407</v>
      </c>
      <c r="AN252" s="35" t="n">
        <f aca="false"> MOD(280.4664567 + 360007.6982779*L252/10 + 0.03032028*L252^2/100 + L252^3/49931000,360)</f>
        <v>167.04767444233</v>
      </c>
      <c r="AO252" s="32" t="n">
        <f aca="false"> AN252 + (1.9146 - 0.004817*L252 - 0.000014*L252^2)*SIN(Q252)+ (0.019993 - 0.000101*L252)*SIN(2*Q252)+ 0.00029*SIN(3*Q252)</f>
        <v>165.347874233658</v>
      </c>
      <c r="AP252" s="32" t="n">
        <f aca="false">ACOS(COS(W252-$A$10*AO252)*COS(Y252))/$A$10</f>
        <v>146.743969314369</v>
      </c>
      <c r="AQ252" s="34" t="n">
        <f aca="false">180 - AP252 -0.1468*(1-0.0549*SIN(Q252))*SIN($A$10*AP252)/(1-0.0167*SIN($A$10*AO252))</f>
        <v>33.17120726146</v>
      </c>
      <c r="AR252" s="64" t="n">
        <f aca="false">SIN($A$10*AI252)</f>
        <v>0.714639945914895</v>
      </c>
      <c r="AS252" s="64" t="n">
        <f aca="false">COS($A$10*AI252)*SIN($A$10*$B$5) - TAN($A$10*AG252)*COS($A$10*$B$5)</f>
        <v>0.794518168222664</v>
      </c>
      <c r="AT252" s="24" t="n">
        <f aca="false">IF(OR(AND(AR252*AS252&gt;0), AND(AR252&lt;0,AS252&gt;0)), MOD(ATAN2(AS252,AR252)/$A$10+360,360),  ATAN2(AS252,AR252)/$A$10)</f>
        <v>41.9702191495742</v>
      </c>
      <c r="AU252" s="39" t="n">
        <f aca="false"> 385000.56 + (-20905355*COS(P252) - 3699111*COS(2*R252-P252) - 2955968*COS(2*R252) - 569925*COS(2*P252) + (1-0.002516*L252)*48888*COS(Q252) - 3149*COS(2*S252)  +246158*COS(2*R252-2*P252) -(1 - 0.002516*L252)*152138*COS(2*R252-Q252-P252) -170733*COS(2*R252+P252) -(1 - 0.002516*L252)*204586*COS(2*R252-Q252) -(1 - 0.002516*L252)*129620*COS(Q252-P252)  + 108743*COS(R252) +(1-0.002516*L252)*104755*COS(Q252+P252) +10321*COS(2*R252-2*S252) +79661*COS(P252-2*S252) -34782*COS(4*R252-P252) -23210*COS(3*P252)  -21636*COS(4*R252-2*P252) +(1 - 0.002516*L252)*24208*COS(2*R252+Q252-P252) +(1 - 0.002516*L252)*30824*COS(2*R252+Q252) -8379*COS(R252-P252) -(1 - 0.002516*L252)*16675*COS(R252+Q252)  -(1 - 0.002516*L252)*12831*COS(2*R252-Q252+P252) -10445*COS(2*R252+2*P252) -11650*COS(4*R252) +14403*COS(2*R252-3*P252) -(1-0.002516*L252)*7003*COS(Q252-2*P252)  + (1 - 0.002516*L252)*10056*COS(2*R252-Q252-2*P252) +6322*COS(R252+P252) -(1 - 0.002516*L252)*(1-0.002516*L252)*9884*COS(2*R252-2*Q252) +(1-0.002516*L252)*5751*COS(Q252+2*P252) - (1-0.002516*L252)^2*4950*COS(2*R252-2*Q252-P252)  +4130*COS(2*R252+P252-2*S252) -(1-0.002516*L252)*3958*COS(4*R252-Q252-P252) +3258*COS(3*R252-P252) +(1 - 0.002516*L252)*2616*COS(2*R252+Q252+P252) -(1 - 0.002516*L252)*1897*COS(4*R252-Q252-2*P252)  -(1-0.002516*L252)^2*2117*COS(2*Q252-P252) +(1-0.002516*L252)^2*2354*COS(2*R252+2*Q252-P252) -1423*COS(4*R252+P252) -1117*COS(4*P252) -(1-0.002516*L252)*1571*COS(4*R252-Q252)  -1739*COS(R252-2*P252) -4421*COS(2*P252-2*S252) +(1-0.002516*L252)^2*1165*COS(2*Q252+P252) +8752*COS(2*R252-P252-2*S252))/1000</f>
        <v>364528.497805706</v>
      </c>
      <c r="AV252" s="54" t="n">
        <f aca="false">ATAN(0.99664719*TAN($A$10*input!$E$2))</f>
        <v>0.871010436227447</v>
      </c>
      <c r="AW252" s="54" t="n">
        <f aca="false">COS(AV252)</f>
        <v>0.644053912545845</v>
      </c>
      <c r="AX252" s="54" t="n">
        <f aca="false">0.99664719*SIN(AV252)</f>
        <v>0.762415269897027</v>
      </c>
      <c r="AY252" s="54" t="n">
        <f aca="false">6378.14/AU252</f>
        <v>0.0174969585050098</v>
      </c>
      <c r="AZ252" s="55" t="n">
        <f aca="false">M252-15*AH252</f>
        <v>-314.386300808325</v>
      </c>
      <c r="BA252" s="56" t="n">
        <f aca="false">COS($A$10*AG252)*SIN($A$10*AZ252)</f>
        <v>0.66296997988871</v>
      </c>
      <c r="BB252" s="56" t="n">
        <f aca="false">COS($A$10*AG252)*COS($A$10*AZ252)-AW252*AY252</f>
        <v>0.637648734946721</v>
      </c>
      <c r="BC252" s="56" t="n">
        <f aca="false">SIN($A$10*AG252)-AX252*AY252</f>
        <v>-0.386671703013631</v>
      </c>
      <c r="BD252" s="57" t="n">
        <f aca="false">SQRT(BA252^2+BB252^2+BC252^2)</f>
        <v>0.997817673387404</v>
      </c>
      <c r="BE252" s="58" t="n">
        <f aca="false">AU252*BD252</f>
        <v>363732.977563895</v>
      </c>
    </row>
    <row r="253" customFormat="false" ht="15" hidden="false" customHeight="false" outlineLevel="0" collapsed="false">
      <c r="D253" s="41" t="n">
        <f aca="false">K253-INT(275*E253/9)+IF($A$8="common year",2,1)*INT((E253+9)/12)+30</f>
        <v>9</v>
      </c>
      <c r="E253" s="41" t="n">
        <f aca="false">IF(K253&lt;32,1,INT(9*(IF($A$8="common year",2,1)+K253)/275+0.98))</f>
        <v>9</v>
      </c>
      <c r="F253" s="42" t="n">
        <f aca="false">AM253</f>
        <v>16.2527972968878</v>
      </c>
      <c r="G253" s="60" t="n">
        <f aca="false">F253+1.02/(TAN($A$10*(F253+10.3/(F253+5.11)))*60)</f>
        <v>16.3093359448756</v>
      </c>
      <c r="H253" s="43" t="n">
        <f aca="false">100*(1+COS($A$10*AQ253))/2</f>
        <v>97.0573776916718</v>
      </c>
      <c r="I253" s="43" t="n">
        <f aca="false">IF(AI253&gt;180,AT253-180,AT253+180)</f>
        <v>211.944380166223</v>
      </c>
      <c r="J253" s="61" t="n">
        <f aca="false">$J$2+K252</f>
        <v>2459831.5</v>
      </c>
      <c r="K253" s="21" t="n">
        <v>252</v>
      </c>
      <c r="L253" s="62" t="n">
        <f aca="false">(J253-2451545)/36525</f>
        <v>0.226872005475702</v>
      </c>
      <c r="M253" s="63" t="n">
        <f aca="false">MOD(280.46061837+360.98564736629*(J253-2451545)+0.000387933*L253^2-L253^3/38710000+$B$7,360)</f>
        <v>3.02753909863532</v>
      </c>
      <c r="N253" s="30" t="n">
        <f aca="false">0.606433+1336.855225*L253 - INT(0.606433+1336.855225*L253)</f>
        <v>0.901458926420276</v>
      </c>
      <c r="O253" s="35" t="n">
        <f aca="false">22640*SIN(P253)-4586*SIN(P253-2*R253)+2370*SIN(2*R253)+769*SIN(2*P253)-668*SIN(Q253)-412*SIN(2*S253)-212*SIN(2*P253-2*R253)-206*SIN(P253+Q253-2*R253)+192*SIN(P253+2*R253)-165*SIN(Q253-2*R253)-125*SIN(R253)-110*SIN(P253+Q253)+148*SIN(P253-Q253)-55*SIN(2*S253-2*R253)</f>
        <v>9334.69894002568</v>
      </c>
      <c r="P253" s="32" t="n">
        <f aca="false">2*PI()*(0.374897+1325.55241*L253 - INT(0.374897+1325.55241*L253))</f>
        <v>0.663696758626156</v>
      </c>
      <c r="Q253" s="36" t="n">
        <f aca="false">2*PI()*(0.993133+99.997361*L253 - INT(0.993133+99.997361*L253))</f>
        <v>4.2708999113853</v>
      </c>
      <c r="R253" s="36" t="n">
        <f aca="false">2*PI()*(0.827361+1236.853086*L253 - INT(0.827361+1236.853086*L253))</f>
        <v>2.73130756221246</v>
      </c>
      <c r="S253" s="36" t="n">
        <f aca="false">2*PI()*(0.259086+1342.227825*L253 - INT(0.259086+1342.227825*L253))</f>
        <v>4.8569302845509</v>
      </c>
      <c r="T253" s="36" t="n">
        <f aca="false">S253+(O253+412*SIN(2*S253)+541*SIN(Q253))/206264.8062</f>
        <v>4.89924541353651</v>
      </c>
      <c r="U253" s="36" t="n">
        <f aca="false">S253-2*R253</f>
        <v>-0.605684839874028</v>
      </c>
      <c r="V253" s="34" t="n">
        <f aca="false">-526*SIN(U253)+44*SIN(P253+U253)-31*SIN(-P253+U253)-23*SIN(Q253+U253)+11*SIN(-Q253+U253)-25*SIN(-2*P253+S253)+21*SIN(-P253+S253)</f>
        <v>345.195268714743</v>
      </c>
      <c r="W253" s="36" t="n">
        <f aca="false">2*PI()*(N253+O253/1296000-INT(N253+O253/1296000))</f>
        <v>5.70928937906139</v>
      </c>
      <c r="X253" s="35" t="n">
        <f aca="false">W253*180/PI()</f>
        <v>327.118185439084</v>
      </c>
      <c r="Y253" s="36" t="n">
        <f aca="false">(18520*SIN(T253)+V253)/206264.8062</f>
        <v>-0.0865510154883921</v>
      </c>
      <c r="Z253" s="36" t="n">
        <f aca="false">Y253*180/PI()</f>
        <v>-4.95900790005629</v>
      </c>
      <c r="AA253" s="36" t="n">
        <f aca="false">COS(Y253)*COS(W253)</f>
        <v>0.836648711971639</v>
      </c>
      <c r="AB253" s="36" t="n">
        <f aca="false">COS(Y253)*SIN(W253)</f>
        <v>-0.540875716980246</v>
      </c>
      <c r="AC253" s="36" t="n">
        <f aca="false">SIN(Y253)</f>
        <v>-0.0864429958834274</v>
      </c>
      <c r="AD253" s="36" t="n">
        <f aca="false">COS($A$10*(23.4393-46.815*L253/3600))*AB253-SIN($A$10*(23.4393-46.815*L253/3600))*AC253</f>
        <v>-0.461873835057279</v>
      </c>
      <c r="AE253" s="36" t="n">
        <f aca="false">SIN($A$10*(23.4393-46.815*L253/3600))*AB253+COS($A$10*(23.4393-46.815*L253/3600))*AC253</f>
        <v>-0.294434191706193</v>
      </c>
      <c r="AF253" s="36" t="n">
        <f aca="false">SQRT(1-AE253*AE253)</f>
        <v>0.955671756804773</v>
      </c>
      <c r="AG253" s="35" t="n">
        <f aca="false">ATAN(AE253/AF253)/$A$10</f>
        <v>-17.1236121394037</v>
      </c>
      <c r="AH253" s="36" t="n">
        <f aca="false">IF(24*ATAN(AD253/(AA253+AF253))/PI()&gt;0,24*ATAN(AD253/(AA253+AF253))/PI(),24*ATAN(AD253/(AA253+AF253))/PI()+24)</f>
        <v>22.0732670845239</v>
      </c>
      <c r="AI253" s="63" t="n">
        <f aca="false">IF(M253-15*AH253&gt;0,M253-15*AH253,360+M253-15*AH253)</f>
        <v>31.9285328307761</v>
      </c>
      <c r="AJ253" s="32" t="n">
        <f aca="false">0.950724+0.051818*COS(P253)+0.009531*COS(2*R253-P253)+0.007843*COS(2*R253)+0.002824*COS(2*P253)+0.000857*COS(2*R253+P253)+0.000533*COS(2*R253-Q253)*(1-0.002495*(J253-2415020)/36525)+0.000401*COS(2*R253-Q253-P253)*(1-0.002495*(J253-2415020)/36525)+0.00032*COS(P253-Q253)*(1-0.002495*(J253-2415020)/36525)-0.000271*COS(R253)</f>
        <v>0.999745659574268</v>
      </c>
      <c r="AK253" s="36" t="n">
        <f aca="false">ASIN(COS($A$10*$B$5)*COS($A$10*AG253)*COS($A$10*AI253)+SIN($A$10*$B$5)*SIN($A$10*AG253))/$A$10</f>
        <v>17.2059220925451</v>
      </c>
      <c r="AL253" s="32" t="n">
        <f aca="false">ASIN((0.9983271+0.0016764*COS($A$10*2*$B$5))*COS($A$10*AK253)*SIN($A$10*AJ253))/$A$10</f>
        <v>0.95312479565731</v>
      </c>
      <c r="AM253" s="32" t="n">
        <f aca="false">AK253-AL253</f>
        <v>16.2527972968878</v>
      </c>
      <c r="AN253" s="35" t="n">
        <f aca="false"> MOD(280.4664567 + 360007.6982779*L253/10 + 0.03032028*L253^2/100 + L253^3/49931000,360)</f>
        <v>168.033321806202</v>
      </c>
      <c r="AO253" s="32" t="n">
        <f aca="false"> AN253 + (1.9146 - 0.004817*L253 - 0.000014*L253^2)*SIN(Q253)+ (0.019993 - 0.000101*L253)*SIN(2*Q253)+ 0.00029*SIN(3*Q253)</f>
        <v>166.318789503639</v>
      </c>
      <c r="AP253" s="32" t="n">
        <f aca="false">ACOS(COS(W253-$A$10*AO253)*COS(Y253))/$A$10</f>
        <v>160.192754413985</v>
      </c>
      <c r="AQ253" s="34" t="n">
        <f aca="false">180 - AP253 -0.1468*(1-0.0549*SIN(Q253))*SIN($A$10*AP253)/(1-0.0167*SIN($A$10*AO253))</f>
        <v>19.7548252368066</v>
      </c>
      <c r="AR253" s="64" t="n">
        <f aca="false">SIN($A$10*AI253)</f>
        <v>0.528861050154103</v>
      </c>
      <c r="AS253" s="64" t="n">
        <f aca="false">COS($A$10*AI253)*SIN($A$10*$B$5) - TAN($A$10*AG253)*COS($A$10*$B$5)</f>
        <v>0.848185668034361</v>
      </c>
      <c r="AT253" s="24" t="n">
        <f aca="false">IF(OR(AND(AR253*AS253&gt;0), AND(AR253&lt;0,AS253&gt;0)), MOD(ATAN2(AS253,AR253)/$A$10+360,360),  ATAN2(AS253,AR253)/$A$10)</f>
        <v>31.9443801662227</v>
      </c>
      <c r="AU253" s="39" t="n">
        <f aca="false"> 385000.56 + (-20905355*COS(P253) - 3699111*COS(2*R253-P253) - 2955968*COS(2*R253) - 569925*COS(2*P253) + (1-0.002516*L253)*48888*COS(Q253) - 3149*COS(2*S253)  +246158*COS(2*R253-2*P253) -(1 - 0.002516*L253)*152138*COS(2*R253-Q253-P253) -170733*COS(2*R253+P253) -(1 - 0.002516*L253)*204586*COS(2*R253-Q253) -(1 - 0.002516*L253)*129620*COS(Q253-P253)  + 108743*COS(R253) +(1-0.002516*L253)*104755*COS(Q253+P253) +10321*COS(2*R253-2*S253) +79661*COS(P253-2*S253) -34782*COS(4*R253-P253) -23210*COS(3*P253)  -21636*COS(4*R253-2*P253) +(1 - 0.002516*L253)*24208*COS(2*R253+Q253-P253) +(1 - 0.002516*L253)*30824*COS(2*R253+Q253) -8379*COS(R253-P253) -(1 - 0.002516*L253)*16675*COS(R253+Q253)  -(1 - 0.002516*L253)*12831*COS(2*R253-Q253+P253) -10445*COS(2*R253+2*P253) -11650*COS(4*R253) +14403*COS(2*R253-3*P253) -(1-0.002516*L253)*7003*COS(Q253-2*P253)  + (1 - 0.002516*L253)*10056*COS(2*R253-Q253-2*P253) +6322*COS(R253+P253) -(1 - 0.002516*L253)*(1-0.002516*L253)*9884*COS(2*R253-2*Q253) +(1-0.002516*L253)*5751*COS(Q253+2*P253) - (1-0.002516*L253)^2*4950*COS(2*R253-2*Q253-P253)  +4130*COS(2*R253+P253-2*S253) -(1-0.002516*L253)*3958*COS(4*R253-Q253-P253) +3258*COS(3*R253-P253) +(1 - 0.002516*L253)*2616*COS(2*R253+Q253+P253) -(1 - 0.002516*L253)*1897*COS(4*R253-Q253-2*P253)  -(1-0.002516*L253)^2*2117*COS(2*Q253-P253) +(1-0.002516*L253)^2*2354*COS(2*R253+2*Q253-P253) -1423*COS(4*R253+P253) -1117*COS(4*P253) -(1-0.002516*L253)*1571*COS(4*R253-Q253)  -1739*COS(R253-2*P253) -4421*COS(2*P253-2*S253) +(1-0.002516*L253)^2*1165*COS(2*Q253+P253) +8752*COS(2*R253-P253-2*S253))/1000</f>
        <v>365491.359124423</v>
      </c>
      <c r="AV253" s="54" t="n">
        <f aca="false">ATAN(0.99664719*TAN($A$10*input!$E$2))</f>
        <v>0.871010436227447</v>
      </c>
      <c r="AW253" s="54" t="n">
        <f aca="false">COS(AV253)</f>
        <v>0.644053912545845</v>
      </c>
      <c r="AX253" s="54" t="n">
        <f aca="false">0.99664719*SIN(AV253)</f>
        <v>0.762415269897027</v>
      </c>
      <c r="AY253" s="54" t="n">
        <f aca="false">6378.14/AU253</f>
        <v>0.017450863996565</v>
      </c>
      <c r="AZ253" s="55" t="n">
        <f aca="false">M253-15*AH253</f>
        <v>-328.071467169224</v>
      </c>
      <c r="BA253" s="56" t="n">
        <f aca="false">COS($A$10*AG253)*SIN($A$10*AZ253)</f>
        <v>0.505417568906387</v>
      </c>
      <c r="BB253" s="56" t="n">
        <f aca="false">COS($A$10*AG253)*COS($A$10*AZ253)-AW253*AY253</f>
        <v>0.79984737371714</v>
      </c>
      <c r="BC253" s="56" t="n">
        <f aca="false">SIN($A$10*AG253)-AX253*AY253</f>
        <v>-0.30773899689007</v>
      </c>
      <c r="BD253" s="57" t="n">
        <f aca="false">SQRT(BA253^2+BB253^2+BC253^2)</f>
        <v>0.994940214489472</v>
      </c>
      <c r="BE253" s="58" t="n">
        <f aca="false">AU253*BD253</f>
        <v>363642.051241302</v>
      </c>
    </row>
    <row r="254" customFormat="false" ht="15" hidden="false" customHeight="false" outlineLevel="0" collapsed="false">
      <c r="D254" s="41" t="n">
        <f aca="false">K254-INT(275*E254/9)+IF($A$8="common year",2,1)*INT((E254+9)/12)+30</f>
        <v>10</v>
      </c>
      <c r="E254" s="41" t="n">
        <f aca="false">IF(K254&lt;32,1,INT(9*(IF($A$8="common year",2,1)+K254)/275+0.98))</f>
        <v>9</v>
      </c>
      <c r="F254" s="42" t="n">
        <f aca="false">AM254</f>
        <v>25.4856336014748</v>
      </c>
      <c r="G254" s="60" t="n">
        <f aca="false">F254+1.02/(TAN($A$10*(F254+10.3/(F254+5.11)))*60)</f>
        <v>25.5207649158607</v>
      </c>
      <c r="H254" s="43" t="n">
        <f aca="false">100*(1+COS($A$10*AQ254))/2</f>
        <v>99.6067371014878</v>
      </c>
      <c r="I254" s="43" t="n">
        <f aca="false">IF(AI254&gt;180,AT254-180,AT254+180)</f>
        <v>201.038949669155</v>
      </c>
      <c r="J254" s="61" t="n">
        <f aca="false">$J$2+K253</f>
        <v>2459832.5</v>
      </c>
      <c r="K254" s="21" t="n">
        <v>253</v>
      </c>
      <c r="L254" s="62" t="n">
        <f aca="false">(J254-2451545)/36525</f>
        <v>0.226899383983573</v>
      </c>
      <c r="M254" s="63" t="n">
        <f aca="false">MOD(280.46061837+360.98564736629*(J254-2451545)+0.000387933*L254^2-L254^3/38710000+$B$7,360)</f>
        <v>4.01318647013977</v>
      </c>
      <c r="N254" s="30" t="n">
        <f aca="false">0.606433+1336.855225*L254 - INT(0.606433+1336.855225*L254)</f>
        <v>0.938060027720724</v>
      </c>
      <c r="O254" s="35" t="n">
        <f aca="false">22640*SIN(P254)-4586*SIN(P254-2*R254)+2370*SIN(2*R254)+769*SIN(2*P254)-668*SIN(Q254)-412*SIN(2*S254)-212*SIN(2*P254-2*R254)-206*SIN(P254+Q254-2*R254)+192*SIN(P254+2*R254)-165*SIN(Q254-2*R254)-125*SIN(R254)-110*SIN(P254+Q254)+148*SIN(P254-Q254)-55*SIN(2*S254-2*R254)</f>
        <v>14322.1515498774</v>
      </c>
      <c r="P254" s="32" t="n">
        <f aca="false">2*PI()*(0.374897+1325.55241*L254 - INT(0.374897+1325.55241*L254))</f>
        <v>0.891723902401617</v>
      </c>
      <c r="Q254" s="36" t="n">
        <f aca="false">2*PI()*(0.993133+99.997361*L254 - INT(0.993133+99.997361*L254))</f>
        <v>4.28810188125229</v>
      </c>
      <c r="R254" s="36" t="n">
        <f aca="false">2*PI()*(0.827361+1236.853086*L254 - INT(0.827361+1236.853086*L254))</f>
        <v>2.94407627233149</v>
      </c>
      <c r="S254" s="36" t="n">
        <f aca="false">2*PI()*(0.259086+1342.227825*L254 - INT(0.259086+1342.227825*L254))</f>
        <v>5.0878260038919</v>
      </c>
      <c r="T254" s="36" t="n">
        <f aca="false">S254+(O254+412*SIN(2*S254)+541*SIN(Q254))/206264.8062</f>
        <v>5.15350866880312</v>
      </c>
      <c r="U254" s="36" t="n">
        <f aca="false">S254-2*R254</f>
        <v>-0.800326540771073</v>
      </c>
      <c r="V254" s="34" t="n">
        <f aca="false">-526*SIN(U254)+44*SIN(P254+U254)-31*SIN(-P254+U254)-23*SIN(Q254+U254)+11*SIN(-Q254+U254)-25*SIN(-2*P254+S254)+21*SIN(-P254+S254)</f>
        <v>416.0616018024</v>
      </c>
      <c r="W254" s="36" t="n">
        <f aca="false">2*PI()*(N254+O254/1296000-INT(N254+O254/1296000))</f>
        <v>5.96344073357037</v>
      </c>
      <c r="X254" s="35" t="n">
        <f aca="false">W254*180/PI()</f>
        <v>341.679985409982</v>
      </c>
      <c r="Y254" s="36" t="n">
        <f aca="false">(18520*SIN(T254)+V254)/206264.8062</f>
        <v>-0.0791753884307596</v>
      </c>
      <c r="Z254" s="36" t="n">
        <f aca="false">Y254*180/PI()</f>
        <v>-4.53641559839145</v>
      </c>
      <c r="AA254" s="36" t="n">
        <f aca="false">COS(Y254)*COS(W254)</f>
        <v>0.946341782008559</v>
      </c>
      <c r="AB254" s="36" t="n">
        <f aca="false">COS(Y254)*SIN(W254)</f>
        <v>-0.313339396805837</v>
      </c>
      <c r="AC254" s="36" t="n">
        <f aca="false">SIN(Y254)</f>
        <v>-0.0790926926727072</v>
      </c>
      <c r="AD254" s="36" t="n">
        <f aca="false">COS($A$10*(23.4393-46.815*L254/3600))*AB254-SIN($A$10*(23.4393-46.815*L254/3600))*AC254</f>
        <v>-0.256032134379925</v>
      </c>
      <c r="AE254" s="36" t="n">
        <f aca="false">SIN($A$10*(23.4393-46.815*L254/3600))*AB254+COS($A$10*(23.4393-46.815*L254/3600))*AC254</f>
        <v>-0.197192235622311</v>
      </c>
      <c r="AF254" s="36" t="n">
        <f aca="false">SQRT(1-AE254*AE254)</f>
        <v>0.980364841378084</v>
      </c>
      <c r="AG254" s="35" t="n">
        <f aca="false">ATAN(AE254/AF254)/$A$10</f>
        <v>-11.3728164341779</v>
      </c>
      <c r="AH254" s="36" t="n">
        <f aca="false">IF(24*ATAN(AD254/(AA254+AF254))/PI()&gt;0,24*ATAN(AD254/(AA254+AF254))/PI(),24*ATAN(AD254/(AA254+AF254))/PI()+24)</f>
        <v>22.9907395504925</v>
      </c>
      <c r="AI254" s="63" t="n">
        <f aca="false">IF(M254-15*AH254&gt;0,M254-15*AH254,360+M254-15*AH254)</f>
        <v>19.1520932127518</v>
      </c>
      <c r="AJ254" s="32" t="n">
        <f aca="false">0.950724+0.051818*COS(P254)+0.009531*COS(2*R254-P254)+0.007843*COS(2*R254)+0.002824*COS(2*P254)+0.000857*COS(2*R254+P254)+0.000533*COS(2*R254-Q254)*(1-0.002495*(J254-2415020)/36525)+0.000401*COS(2*R254-Q254-P254)*(1-0.002495*(J254-2415020)/36525)+0.00032*COS(P254-Q254)*(1-0.002495*(J254-2415020)/36525)-0.000271*COS(R254)</f>
        <v>0.993581804810517</v>
      </c>
      <c r="AK254" s="36" t="n">
        <f aca="false">ASIN(COS($A$10*$B$5)*COS($A$10*AG254)*COS($A$10*AI254)+SIN($A$10*$B$5)*SIN($A$10*AG254))/$A$10</f>
        <v>26.374039376302</v>
      </c>
      <c r="AL254" s="32" t="n">
        <f aca="false">ASIN((0.9983271+0.0016764*COS($A$10*2*$B$5))*COS($A$10*AK254)*SIN($A$10*AJ254))/$A$10</f>
        <v>0.888405774827181</v>
      </c>
      <c r="AM254" s="32" t="n">
        <f aca="false">AK254-AL254</f>
        <v>25.4856336014748</v>
      </c>
      <c r="AN254" s="35" t="n">
        <f aca="false"> MOD(280.4664567 + 360007.6982779*L254/10 + 0.03032028*L254^2/100 + L254^3/49931000,360)</f>
        <v>169.018969170074</v>
      </c>
      <c r="AO254" s="32" t="n">
        <f aca="false"> AN254 + (1.9146 - 0.004817*L254 - 0.000014*L254^2)*SIN(Q254)+ (0.019993 - 0.000101*L254)*SIN(2*Q254)+ 0.00029*SIN(3*Q254)</f>
        <v>167.290198243757</v>
      </c>
      <c r="AP254" s="32" t="n">
        <f aca="false">ACOS(COS(W254-$A$10*AO254)*COS(Y254))/$A$10</f>
        <v>172.789749206127</v>
      </c>
      <c r="AQ254" s="34" t="n">
        <f aca="false">180 - AP254 -0.1468*(1-0.0549*SIN(Q254))*SIN($A$10*AP254)/(1-0.0167*SIN($A$10*AO254))</f>
        <v>7.19083263085019</v>
      </c>
      <c r="AR254" s="64" t="n">
        <f aca="false">SIN($A$10*AI254)</f>
        <v>0.328076909351922</v>
      </c>
      <c r="AS254" s="64" t="n">
        <f aca="false">COS($A$10*AI254)*SIN($A$10*$B$5) - TAN($A$10*AG254)*COS($A$10*$B$5)</f>
        <v>0.852936043888991</v>
      </c>
      <c r="AT254" s="24" t="n">
        <f aca="false">IF(OR(AND(AR254*AS254&gt;0), AND(AR254&lt;0,AS254&gt;0)), MOD(ATAN2(AS254,AR254)/$A$10+360,360),  ATAN2(AS254,AR254)/$A$10)</f>
        <v>21.0389496691546</v>
      </c>
      <c r="AU254" s="39" t="n">
        <f aca="false"> 385000.56 + (-20905355*COS(P254) - 3699111*COS(2*R254-P254) - 2955968*COS(2*R254) - 569925*COS(2*P254) + (1-0.002516*L254)*48888*COS(Q254) - 3149*COS(2*S254)  +246158*COS(2*R254-2*P254) -(1 - 0.002516*L254)*152138*COS(2*R254-Q254-P254) -170733*COS(2*R254+P254) -(1 - 0.002516*L254)*204586*COS(2*R254-Q254) -(1 - 0.002516*L254)*129620*COS(Q254-P254)  + 108743*COS(R254) +(1-0.002516*L254)*104755*COS(Q254+P254) +10321*COS(2*R254-2*S254) +79661*COS(P254-2*S254) -34782*COS(4*R254-P254) -23210*COS(3*P254)  -21636*COS(4*R254-2*P254) +(1 - 0.002516*L254)*24208*COS(2*R254+Q254-P254) +(1 - 0.002516*L254)*30824*COS(2*R254+Q254) -8379*COS(R254-P254) -(1 - 0.002516*L254)*16675*COS(R254+Q254)  -(1 - 0.002516*L254)*12831*COS(2*R254-Q254+P254) -10445*COS(2*R254+2*P254) -11650*COS(4*R254) +14403*COS(2*R254-3*P254) -(1-0.002516*L254)*7003*COS(Q254-2*P254)  + (1 - 0.002516*L254)*10056*COS(2*R254-Q254-2*P254) +6322*COS(R254+P254) -(1 - 0.002516*L254)*(1-0.002516*L254)*9884*COS(2*R254-2*Q254) +(1-0.002516*L254)*5751*COS(Q254+2*P254) - (1-0.002516*L254)^2*4950*COS(2*R254-2*Q254-P254)  +4130*COS(2*R254+P254-2*S254) -(1-0.002516*L254)*3958*COS(4*R254-Q254-P254) +3258*COS(3*R254-P254) +(1 - 0.002516*L254)*2616*COS(2*R254+Q254+P254) -(1 - 0.002516*L254)*1897*COS(4*R254-Q254-2*P254)  -(1-0.002516*L254)^2*2117*COS(2*Q254-P254) +(1-0.002516*L254)^2*2354*COS(2*R254+2*Q254-P254) -1423*COS(4*R254+P254) -1117*COS(4*P254) -(1-0.002516*L254)*1571*COS(4*R254-Q254)  -1739*COS(R254-2*P254) -4421*COS(2*P254-2*S254) +(1-0.002516*L254)^2*1165*COS(2*Q254+P254) +8752*COS(2*R254-P254-2*S254))/1000</f>
        <v>367791.428401046</v>
      </c>
      <c r="AV254" s="54" t="n">
        <f aca="false">ATAN(0.99664719*TAN($A$10*input!$E$2))</f>
        <v>0.871010436227447</v>
      </c>
      <c r="AW254" s="54" t="n">
        <f aca="false">COS(AV254)</f>
        <v>0.644053912545845</v>
      </c>
      <c r="AX254" s="54" t="n">
        <f aca="false">0.99664719*SIN(AV254)</f>
        <v>0.762415269897027</v>
      </c>
      <c r="AY254" s="54" t="n">
        <f aca="false">6378.14/AU254</f>
        <v>0.0173417309580287</v>
      </c>
      <c r="AZ254" s="55" t="n">
        <f aca="false">M254-15*AH254</f>
        <v>-340.847906787248</v>
      </c>
      <c r="BA254" s="56" t="n">
        <f aca="false">COS($A$10*AG254)*SIN($A$10*AZ254)</f>
        <v>0.321635067196608</v>
      </c>
      <c r="BB254" s="56" t="n">
        <f aca="false">COS($A$10*AG254)*COS($A$10*AZ254)-AW254*AY254</f>
        <v>0.914933633535711</v>
      </c>
      <c r="BC254" s="56" t="n">
        <f aca="false">SIN($A$10*AG254)-AX254*AY254</f>
        <v>-0.210413836111158</v>
      </c>
      <c r="BD254" s="57" t="n">
        <f aca="false">SQRT(BA254^2+BB254^2+BC254^2)</f>
        <v>0.992384327089278</v>
      </c>
      <c r="BE254" s="58" t="n">
        <f aca="false">AU254*BD254</f>
        <v>364990.449182976</v>
      </c>
    </row>
    <row r="255" customFormat="false" ht="15" hidden="false" customHeight="false" outlineLevel="0" collapsed="false">
      <c r="D255" s="41" t="n">
        <f aca="false">K255-INT(275*E255/9)+IF($A$8="common year",2,1)*INT((E255+9)/12)+30</f>
        <v>11</v>
      </c>
      <c r="E255" s="41" t="n">
        <f aca="false">IF(K255&lt;32,1,INT(9*(IF($A$8="common year",2,1)+K255)/275+0.98))</f>
        <v>9</v>
      </c>
      <c r="F255" s="42" t="n">
        <f aca="false">AM255</f>
        <v>33.737897535267</v>
      </c>
      <c r="G255" s="60" t="n">
        <f aca="false">F255+1.02/(TAN($A$10*(F255+10.3/(F255+5.11)))*60)</f>
        <v>33.7630981929695</v>
      </c>
      <c r="H255" s="43" t="n">
        <f aca="false">100*(1+COS($A$10*AQ255))/2</f>
        <v>99.436784161723</v>
      </c>
      <c r="I255" s="43" t="n">
        <f aca="false">IF(AI255&gt;180,AT255-180,AT255+180)</f>
        <v>188.647267453145</v>
      </c>
      <c r="J255" s="61" t="n">
        <f aca="false">$J$2+K254</f>
        <v>2459833.5</v>
      </c>
      <c r="K255" s="21" t="n">
        <v>254</v>
      </c>
      <c r="L255" s="62" t="n">
        <f aca="false">(J255-2451545)/36525</f>
        <v>0.226926762491444</v>
      </c>
      <c r="M255" s="63" t="n">
        <f aca="false">MOD(280.46061837+360.98564736629*(J255-2451545)+0.000387933*L255^2-L255^3/38710000+$B$7,360)</f>
        <v>4.99883384117857</v>
      </c>
      <c r="N255" s="30" t="n">
        <f aca="false">0.606433+1336.855225*L255 - INT(0.606433+1336.855225*L255)</f>
        <v>0.974661129021229</v>
      </c>
      <c r="O255" s="35" t="n">
        <f aca="false">22640*SIN(P255)-4586*SIN(P255-2*R255)+2370*SIN(2*R255)+769*SIN(2*P255)-668*SIN(Q255)-412*SIN(2*S255)-212*SIN(2*P255-2*R255)-206*SIN(P255+Q255-2*R255)+192*SIN(P255+2*R255)-165*SIN(Q255-2*R255)-125*SIN(R255)-110*SIN(P255+Q255)+148*SIN(P255-Q255)-55*SIN(2*S255-2*R255)</f>
        <v>18443.1667251602</v>
      </c>
      <c r="P255" s="32" t="n">
        <f aca="false">2*PI()*(0.374897+1325.55241*L255 - INT(0.374897+1325.55241*L255))</f>
        <v>1.11975104617743</v>
      </c>
      <c r="Q255" s="36" t="n">
        <f aca="false">2*PI()*(0.993133+99.997361*L255 - INT(0.993133+99.997361*L255))</f>
        <v>4.30530385111927</v>
      </c>
      <c r="R255" s="36" t="n">
        <f aca="false">2*PI()*(0.827361+1236.853086*L255 - INT(0.827361+1236.853086*L255))</f>
        <v>3.15684498245051</v>
      </c>
      <c r="S255" s="36" t="n">
        <f aca="false">2*PI()*(0.259086+1342.227825*L255 - INT(0.259086+1342.227825*L255))</f>
        <v>5.31872172323291</v>
      </c>
      <c r="T255" s="36" t="n">
        <f aca="false">S255+(O255+412*SIN(2*S255)+541*SIN(Q255))/206264.8062</f>
        <v>5.40385751593316</v>
      </c>
      <c r="U255" s="36" t="n">
        <f aca="false">S255-2*R255</f>
        <v>-0.994968241668117</v>
      </c>
      <c r="V255" s="34" t="n">
        <f aca="false">-526*SIN(U255)+44*SIN(P255+U255)-31*SIN(-P255+U255)-23*SIN(Q255+U255)+11*SIN(-Q255+U255)-25*SIN(-2*P255+S255)+21*SIN(-P255+S255)</f>
        <v>466.34574505076</v>
      </c>
      <c r="W255" s="36" t="n">
        <f aca="false">2*PI()*(N255+O255/1296000-INT(N255+O255/1296000))</f>
        <v>6.21339148085867</v>
      </c>
      <c r="X255" s="35" t="n">
        <f aca="false">W255*180/PI()</f>
        <v>356.001108315742</v>
      </c>
      <c r="Y255" s="36" t="n">
        <f aca="false">(18520*SIN(T255)+V255)/206264.8062</f>
        <v>-0.0669033328194725</v>
      </c>
      <c r="Z255" s="36" t="n">
        <f aca="false">Y255*180/PI()</f>
        <v>-3.83327860591486</v>
      </c>
      <c r="AA255" s="36" t="n">
        <f aca="false">COS(Y255)*COS(W255)</f>
        <v>0.995333652796839</v>
      </c>
      <c r="AB255" s="36" t="n">
        <f aca="false">COS(Y255)*SIN(W255)</f>
        <v>-0.0695811615472323</v>
      </c>
      <c r="AC255" s="36" t="n">
        <f aca="false">SIN(Y255)</f>
        <v>-0.0668534334783223</v>
      </c>
      <c r="AD255" s="36" t="n">
        <f aca="false">COS($A$10*(23.4393-46.815*L255/3600))*AB255-SIN($A$10*(23.4393-46.815*L255/3600))*AC255</f>
        <v>-0.0372512697435967</v>
      </c>
      <c r="AE255" s="36" t="n">
        <f aca="false">SIN($A$10*(23.4393-46.815*L255/3600))*AB255+COS($A$10*(23.4393-46.815*L255/3600))*AC255</f>
        <v>-0.0890127098373727</v>
      </c>
      <c r="AF255" s="36" t="n">
        <f aca="false">SQRT(1-AE255*AE255)</f>
        <v>0.996030490239836</v>
      </c>
      <c r="AG255" s="35" t="n">
        <f aca="false">ATAN(AE255/AF255)/$A$10</f>
        <v>-5.10681156602706</v>
      </c>
      <c r="AH255" s="36" t="n">
        <f aca="false">IF(24*ATAN(AD255/(AA255+AF255))/PI()&gt;0,24*ATAN(AD255/(AA255+AF255))/PI(),24*ATAN(AD255/(AA255+AF255))/PI()+24)</f>
        <v>23.8571102366416</v>
      </c>
      <c r="AI255" s="63" t="n">
        <f aca="false">IF(M255-15*AH255&gt;0,M255-15*AH255,360+M255-15*AH255)</f>
        <v>7.14218029155518</v>
      </c>
      <c r="AJ255" s="32" t="n">
        <f aca="false">0.950724+0.051818*COS(P255)+0.009531*COS(2*R255-P255)+0.007843*COS(2*R255)+0.002824*COS(2*P255)+0.000857*COS(2*R255+P255)+0.000533*COS(2*R255-Q255)*(1-0.002495*(J255-2415020)/36525)+0.000401*COS(2*R255-Q255-P255)*(1-0.002495*(J255-2415020)/36525)+0.00032*COS(P255-Q255)*(1-0.002495*(J255-2415020)/36525)-0.000271*COS(R255)</f>
        <v>0.984143675984845</v>
      </c>
      <c r="AK255" s="36" t="n">
        <f aca="false">ASIN(COS($A$10*$B$5)*COS($A$10*AG255)*COS($A$10*AI255)+SIN($A$10*$B$5)*SIN($A$10*AG255))/$A$10</f>
        <v>34.5468946813939</v>
      </c>
      <c r="AL255" s="32" t="n">
        <f aca="false">ASIN((0.9983271+0.0016764*COS($A$10*2*$B$5))*COS($A$10*AK255)*SIN($A$10*AJ255))/$A$10</f>
        <v>0.808997146126964</v>
      </c>
      <c r="AM255" s="32" t="n">
        <f aca="false">AK255-AL255</f>
        <v>33.737897535267</v>
      </c>
      <c r="AN255" s="35" t="n">
        <f aca="false"> MOD(280.4664567 + 360007.6982779*L255/10 + 0.03032028*L255^2/100 + L255^3/49931000,360)</f>
        <v>170.004616533945</v>
      </c>
      <c r="AO255" s="32" t="n">
        <f aca="false"> AN255 + (1.9146 - 0.004817*L255 - 0.000014*L255^2)*SIN(Q255)+ (0.019993 - 0.000101*L255)*SIN(2*Q255)+ 0.00029*SIN(3*Q255)</f>
        <v>168.262105028234</v>
      </c>
      <c r="AP255" s="32" t="n">
        <f aca="false">ACOS(COS(W255-$A$10*AO255)*COS(Y255))/$A$10</f>
        <v>171.368852853907</v>
      </c>
      <c r="AQ255" s="34" t="n">
        <f aca="false">180 - AP255 -0.1468*(1-0.0549*SIN(Q255))*SIN($A$10*AP255)/(1-0.0167*SIN($A$10*AO255))</f>
        <v>8.60792692280933</v>
      </c>
      <c r="AR255" s="64" t="n">
        <f aca="false">SIN($A$10*AI255)</f>
        <v>0.124331983035498</v>
      </c>
      <c r="AS255" s="64" t="n">
        <f aca="false">COS($A$10*AI255)*SIN($A$10*$B$5) - TAN($A$10*AG255)*COS($A$10*$B$5)</f>
        <v>0.817544748324711</v>
      </c>
      <c r="AT255" s="24" t="n">
        <f aca="false">IF(OR(AND(AR255*AS255&gt;0), AND(AR255&lt;0,AS255&gt;0)), MOD(ATAN2(AS255,AR255)/$A$10+360,360),  ATAN2(AS255,AR255)/$A$10)</f>
        <v>8.64726745314511</v>
      </c>
      <c r="AU255" s="39" t="n">
        <f aca="false"> 385000.56 + (-20905355*COS(P255) - 3699111*COS(2*R255-P255) - 2955968*COS(2*R255) - 569925*COS(2*P255) + (1-0.002516*L255)*48888*COS(Q255) - 3149*COS(2*S255)  +246158*COS(2*R255-2*P255) -(1 - 0.002516*L255)*152138*COS(2*R255-Q255-P255) -170733*COS(2*R255+P255) -(1 - 0.002516*L255)*204586*COS(2*R255-Q255) -(1 - 0.002516*L255)*129620*COS(Q255-P255)  + 108743*COS(R255) +(1-0.002516*L255)*104755*COS(Q255+P255) +10321*COS(2*R255-2*S255) +79661*COS(P255-2*S255) -34782*COS(4*R255-P255) -23210*COS(3*P255)  -21636*COS(4*R255-2*P255) +(1 - 0.002516*L255)*24208*COS(2*R255+Q255-P255) +(1 - 0.002516*L255)*30824*COS(2*R255+Q255) -8379*COS(R255-P255) -(1 - 0.002516*L255)*16675*COS(R255+Q255)  -(1 - 0.002516*L255)*12831*COS(2*R255-Q255+P255) -10445*COS(2*R255+2*P255) -11650*COS(4*R255) +14403*COS(2*R255-3*P255) -(1-0.002516*L255)*7003*COS(Q255-2*P255)  + (1 - 0.002516*L255)*10056*COS(2*R255-Q255-2*P255) +6322*COS(R255+P255) -(1 - 0.002516*L255)*(1-0.002516*L255)*9884*COS(2*R255-2*Q255) +(1-0.002516*L255)*5751*COS(Q255+2*P255) - (1-0.002516*L255)^2*4950*COS(2*R255-2*Q255-P255)  +4130*COS(2*R255+P255-2*S255) -(1-0.002516*L255)*3958*COS(4*R255-Q255-P255) +3258*COS(3*R255-P255) +(1 - 0.002516*L255)*2616*COS(2*R255+Q255+P255) -(1 - 0.002516*L255)*1897*COS(4*R255-Q255-2*P255)  -(1-0.002516*L255)^2*2117*COS(2*Q255-P255) +(1-0.002516*L255)^2*2354*COS(2*R255+2*Q255-P255) -1423*COS(4*R255+P255) -1117*COS(4*P255) -(1-0.002516*L255)*1571*COS(4*R255-Q255)  -1739*COS(R255-2*P255) -4421*COS(2*P255-2*S255) +(1-0.002516*L255)^2*1165*COS(2*Q255+P255) +8752*COS(2*R255-P255-2*S255))/1000</f>
        <v>371334.608918336</v>
      </c>
      <c r="AV255" s="54" t="n">
        <f aca="false">ATAN(0.99664719*TAN($A$10*input!$E$2))</f>
        <v>0.871010436227447</v>
      </c>
      <c r="AW255" s="54" t="n">
        <f aca="false">COS(AV255)</f>
        <v>0.644053912545845</v>
      </c>
      <c r="AX255" s="54" t="n">
        <f aca="false">0.99664719*SIN(AV255)</f>
        <v>0.762415269897027</v>
      </c>
      <c r="AY255" s="54" t="n">
        <f aca="false">6378.14/AU255</f>
        <v>0.0171762605661211</v>
      </c>
      <c r="AZ255" s="55" t="n">
        <f aca="false">M255-15*AH255</f>
        <v>-352.857819708445</v>
      </c>
      <c r="BA255" s="56" t="n">
        <f aca="false">COS($A$10*AG255)*SIN($A$10*AZ255)</f>
        <v>0.123838446015337</v>
      </c>
      <c r="BB255" s="56" t="n">
        <f aca="false">COS($A$10*AG255)*COS($A$10*AZ255)-AW255*AY255</f>
        <v>0.977239528572303</v>
      </c>
      <c r="BC255" s="56" t="n">
        <f aca="false">SIN($A$10*AG255)-AX255*AY255</f>
        <v>-0.102108153172713</v>
      </c>
      <c r="BD255" s="57" t="n">
        <f aca="false">SQRT(BA255^2+BB255^2+BC255^2)</f>
        <v>0.990332838928434</v>
      </c>
      <c r="BE255" s="58" t="n">
        <f aca="false">AU255*BD255</f>
        <v>367744.857442476</v>
      </c>
    </row>
    <row r="256" customFormat="false" ht="15" hidden="false" customHeight="false" outlineLevel="0" collapsed="false">
      <c r="D256" s="41" t="n">
        <f aca="false">K256-INT(275*E256/9)+IF($A$8="common year",2,1)*INT((E256+9)/12)+30</f>
        <v>12</v>
      </c>
      <c r="E256" s="41" t="n">
        <f aca="false">IF(K256&lt;32,1,INT(9*(IF($A$8="common year",2,1)+K256)/275+0.98))</f>
        <v>9</v>
      </c>
      <c r="F256" s="42" t="n">
        <f aca="false">AM256</f>
        <v>40.4041413615658</v>
      </c>
      <c r="G256" s="60" t="n">
        <f aca="false">F256+1.02/(TAN($A$10*(F256+10.3/(F256+5.11)))*60)</f>
        <v>40.423954285805</v>
      </c>
      <c r="H256" s="43" t="n">
        <f aca="false">100*(1+COS($A$10*AQ256))/2</f>
        <v>96.7140899903926</v>
      </c>
      <c r="I256" s="43" t="n">
        <f aca="false">IF(AI256&gt;180,AT256-180,AT256+180)</f>
        <v>174.24441744614</v>
      </c>
      <c r="J256" s="61" t="n">
        <f aca="false">$J$2+K255</f>
        <v>2459834.5</v>
      </c>
      <c r="K256" s="21" t="n">
        <v>255</v>
      </c>
      <c r="L256" s="62" t="n">
        <f aca="false">(J256-2451545)/36525</f>
        <v>0.226954140999316</v>
      </c>
      <c r="M256" s="63" t="n">
        <f aca="false">MOD(280.46061837+360.98564736629*(J256-2451545)+0.000387933*L256^2-L256^3/38710000+$B$7,360)</f>
        <v>5.98448121221736</v>
      </c>
      <c r="N256" s="30" t="n">
        <f aca="false">0.606433+1336.855225*L256 - INT(0.606433+1336.855225*L256)</f>
        <v>0.0112622303216767</v>
      </c>
      <c r="O256" s="35" t="n">
        <f aca="false">22640*SIN(P256)-4586*SIN(P256-2*R256)+2370*SIN(2*R256)+769*SIN(2*P256)-668*SIN(Q256)-412*SIN(2*S256)-212*SIN(2*P256-2*R256)-206*SIN(P256+Q256-2*R256)+192*SIN(P256+2*R256)-165*SIN(Q256-2*R256)-125*SIN(R256)-110*SIN(P256+Q256)+148*SIN(P256-Q256)-55*SIN(2*S256-2*R256)</f>
        <v>21342.8349796041</v>
      </c>
      <c r="P256" s="32" t="n">
        <f aca="false">2*PI()*(0.374897+1325.55241*L256 - INT(0.374897+1325.55241*L256))</f>
        <v>1.34777818995325</v>
      </c>
      <c r="Q256" s="36" t="n">
        <f aca="false">2*PI()*(0.993133+99.997361*L256 - INT(0.993133+99.997361*L256))</f>
        <v>4.32250582098628</v>
      </c>
      <c r="R256" s="36" t="n">
        <f aca="false">2*PI()*(0.827361+1236.853086*L256 - INT(0.827361+1236.853086*L256))</f>
        <v>3.36961369256954</v>
      </c>
      <c r="S256" s="36" t="n">
        <f aca="false">2*PI()*(0.259086+1342.227825*L256 - INT(0.259086+1342.227825*L256))</f>
        <v>5.54961744257391</v>
      </c>
      <c r="T256" s="36" t="n">
        <f aca="false">S256+(O256+412*SIN(2*S256)+541*SIN(Q256))/206264.8062</f>
        <v>5.64867770943</v>
      </c>
      <c r="U256" s="36" t="n">
        <f aca="false">S256-2*R256</f>
        <v>-1.18960994256516</v>
      </c>
      <c r="V256" s="34" t="n">
        <f aca="false">-526*SIN(U256)+44*SIN(P256+U256)-31*SIN(-P256+U256)-23*SIN(Q256+U256)+11*SIN(-Q256+U256)-25*SIN(-2*P256+S256)+21*SIN(-P256+S256)</f>
        <v>494.841803252885</v>
      </c>
      <c r="W256" s="36" t="n">
        <f aca="false">2*PI()*(N256+O256/1296000-INT(N256+O256/1296000))</f>
        <v>0.174235664000984</v>
      </c>
      <c r="X256" s="35" t="n">
        <f aca="false">W256*180/PI()</f>
        <v>9.98296818791587</v>
      </c>
      <c r="Y256" s="36" t="n">
        <f aca="false">(18520*SIN(T256)+V256)/206264.8062</f>
        <v>-0.0508252616733224</v>
      </c>
      <c r="Z256" s="36" t="n">
        <f aca="false">Y256*180/PI()</f>
        <v>-2.91207298652939</v>
      </c>
      <c r="AA256" s="36" t="n">
        <f aca="false">COS(Y256)*COS(W256)</f>
        <v>0.983587554306749</v>
      </c>
      <c r="AB256" s="36" t="n">
        <f aca="false">COS(Y256)*SIN(W256)</f>
        <v>0.173131566568855</v>
      </c>
      <c r="AC256" s="36" t="n">
        <f aca="false">SIN(Y256)</f>
        <v>-0.0508033824689188</v>
      </c>
      <c r="AD256" s="36" t="n">
        <f aca="false">COS($A$10*(23.4393-46.815*L256/3600))*AB256-SIN($A$10*(23.4393-46.815*L256/3600))*AC256</f>
        <v>0.17905467446005</v>
      </c>
      <c r="AE256" s="36" t="n">
        <f aca="false">SIN($A$10*(23.4393-46.815*L256/3600))*AB256+COS($A$10*(23.4393-46.815*L256/3600))*AC256</f>
        <v>0.0222473946086873</v>
      </c>
      <c r="AF256" s="36" t="n">
        <f aca="false">SQRT(1-AE256*AE256)</f>
        <v>0.999752496087469</v>
      </c>
      <c r="AG256" s="35" t="n">
        <f aca="false">ATAN(AE256/AF256)/$A$10</f>
        <v>1.27478698956453</v>
      </c>
      <c r="AH256" s="36" t="n">
        <f aca="false">IF(24*ATAN(AD256/(AA256+AF256))/PI()&gt;0,24*ATAN(AD256/(AA256+AF256))/PI(),24*ATAN(AD256/(AA256+AF256))/PI()+24)</f>
        <v>0.687818909116985</v>
      </c>
      <c r="AI256" s="63" t="n">
        <f aca="false">IF(M256-15*AH256&gt;0,M256-15*AH256,360+M256-15*AH256)</f>
        <v>355.667197575463</v>
      </c>
      <c r="AJ256" s="32" t="n">
        <f aca="false">0.950724+0.051818*COS(P256)+0.009531*COS(2*R256-P256)+0.007843*COS(2*R256)+0.002824*COS(2*P256)+0.000857*COS(2*R256+P256)+0.000533*COS(2*R256-Q256)*(1-0.002495*(J256-2415020)/36525)+0.000401*COS(2*R256-Q256-P256)*(1-0.002495*(J256-2415020)/36525)+0.00032*COS(P256-Q256)*(1-0.002495*(J256-2415020)/36525)-0.000271*COS(R256)</f>
        <v>0.972210641777688</v>
      </c>
      <c r="AK256" s="36" t="n">
        <f aca="false">ASIN(COS($A$10*$B$5)*COS($A$10*AG256)*COS($A$10*AI256)+SIN($A$10*$B$5)*SIN($A$10*AG256))/$A$10</f>
        <v>41.1349206884844</v>
      </c>
      <c r="AL256" s="32" t="n">
        <f aca="false">ASIN((0.9983271+0.0016764*COS($A$10*2*$B$5))*COS($A$10*AK256)*SIN($A$10*AJ256))/$A$10</f>
        <v>0.730779326918647</v>
      </c>
      <c r="AM256" s="32" t="n">
        <f aca="false">AK256-AL256</f>
        <v>40.4041413615658</v>
      </c>
      <c r="AN256" s="35" t="n">
        <f aca="false"> MOD(280.4664567 + 360007.6982779*L256/10 + 0.03032028*L256^2/100 + L256^3/49931000,360)</f>
        <v>170.990263897816</v>
      </c>
      <c r="AO256" s="32" t="n">
        <f aca="false"> AN256 + (1.9146 - 0.004817*L256 - 0.000014*L256^2)*SIN(Q256)+ (0.019993 - 0.000101*L256)*SIN(2*Q256)+ 0.00029*SIN(3*Q256)</f>
        <v>169.234514300201</v>
      </c>
      <c r="AP256" s="32" t="n">
        <f aca="false">ACOS(COS(W256-$A$10*AO256)*COS(Y256))/$A$10</f>
        <v>159.057113975182</v>
      </c>
      <c r="AQ256" s="34" t="n">
        <f aca="false">180 - AP256 -0.1468*(1-0.0549*SIN(Q256))*SIN($A$10*AP256)/(1-0.0167*SIN($A$10*AO256))</f>
        <v>20.8875772072964</v>
      </c>
      <c r="AR256" s="64" t="n">
        <f aca="false">SIN($A$10*AI256)</f>
        <v>-0.0755496132780589</v>
      </c>
      <c r="AS256" s="64" t="n">
        <f aca="false">COS($A$10*AI256)*SIN($A$10*$B$5) - TAN($A$10*AG256)*COS($A$10*$B$5)</f>
        <v>0.749551231943602</v>
      </c>
      <c r="AT256" s="24" t="n">
        <f aca="false">IF(OR(AND(AR256*AS256&gt;0), AND(AR256&lt;0,AS256&gt;0)), MOD(ATAN2(AS256,AR256)/$A$10+360,360),  ATAN2(AS256,AR256)/$A$10)</f>
        <v>354.24441744614</v>
      </c>
      <c r="AU256" s="39" t="n">
        <f aca="false"> 385000.56 + (-20905355*COS(P256) - 3699111*COS(2*R256-P256) - 2955968*COS(2*R256) - 569925*COS(2*P256) + (1-0.002516*L256)*48888*COS(Q256) - 3149*COS(2*S256)  +246158*COS(2*R256-2*P256) -(1 - 0.002516*L256)*152138*COS(2*R256-Q256-P256) -170733*COS(2*R256+P256) -(1 - 0.002516*L256)*204586*COS(2*R256-Q256) -(1 - 0.002516*L256)*129620*COS(Q256-P256)  + 108743*COS(R256) +(1-0.002516*L256)*104755*COS(Q256+P256) +10321*COS(2*R256-2*S256) +79661*COS(P256-2*S256) -34782*COS(4*R256-P256) -23210*COS(3*P256)  -21636*COS(4*R256-2*P256) +(1 - 0.002516*L256)*24208*COS(2*R256+Q256-P256) +(1 - 0.002516*L256)*30824*COS(2*R256+Q256) -8379*COS(R256-P256) -(1 - 0.002516*L256)*16675*COS(R256+Q256)  -(1 - 0.002516*L256)*12831*COS(2*R256-Q256+P256) -10445*COS(2*R256+2*P256) -11650*COS(4*R256) +14403*COS(2*R256-3*P256) -(1-0.002516*L256)*7003*COS(Q256-2*P256)  + (1 - 0.002516*L256)*10056*COS(2*R256-Q256-2*P256) +6322*COS(R256+P256) -(1 - 0.002516*L256)*(1-0.002516*L256)*9884*COS(2*R256-2*Q256) +(1-0.002516*L256)*5751*COS(Q256+2*P256) - (1-0.002516*L256)^2*4950*COS(2*R256-2*Q256-P256)  +4130*COS(2*R256+P256-2*S256) -(1-0.002516*L256)*3958*COS(4*R256-Q256-P256) +3258*COS(3*R256-P256) +(1 - 0.002516*L256)*2616*COS(2*R256+Q256+P256) -(1 - 0.002516*L256)*1897*COS(4*R256-Q256-2*P256)  -(1-0.002516*L256)^2*2117*COS(2*Q256-P256) +(1-0.002516*L256)^2*2354*COS(2*R256+2*Q256-P256) -1423*COS(4*R256+P256) -1117*COS(4*P256) -(1-0.002516*L256)*1571*COS(4*R256-Q256)  -1739*COS(R256-2*P256) -4421*COS(2*P256-2*S256) +(1-0.002516*L256)^2*1165*COS(2*Q256+P256) +8752*COS(2*R256-P256-2*S256))/1000</f>
        <v>375882.64780441</v>
      </c>
      <c r="AV256" s="54" t="n">
        <f aca="false">ATAN(0.99664719*TAN($A$10*input!$E$2))</f>
        <v>0.871010436227447</v>
      </c>
      <c r="AW256" s="54" t="n">
        <f aca="false">COS(AV256)</f>
        <v>0.644053912545845</v>
      </c>
      <c r="AX256" s="54" t="n">
        <f aca="false">0.99664719*SIN(AV256)</f>
        <v>0.762415269897027</v>
      </c>
      <c r="AY256" s="54" t="n">
        <f aca="false">6378.14/AU256</f>
        <v>0.0169684342633418</v>
      </c>
      <c r="AZ256" s="55" t="n">
        <f aca="false">M256-15*AH256</f>
        <v>-4.33280242453742</v>
      </c>
      <c r="BA256" s="56" t="n">
        <f aca="false">COS($A$10*AG256)*SIN($A$10*AZ256)</f>
        <v>-0.0755309144531832</v>
      </c>
      <c r="BB256" s="56" t="n">
        <f aca="false">COS($A$10*AG256)*COS($A$10*AZ256)-AW256*AY256</f>
        <v>0.985966660976225</v>
      </c>
      <c r="BC256" s="56" t="n">
        <f aca="false">SIN($A$10*AG256)-AX256*AY256</f>
        <v>0.00931040122007155</v>
      </c>
      <c r="BD256" s="57" t="n">
        <f aca="false">SQRT(BA256^2+BB256^2+BC256^2)</f>
        <v>0.988899317001291</v>
      </c>
      <c r="BE256" s="58" t="n">
        <f aca="false">AU256*BD256</f>
        <v>371710.093686418</v>
      </c>
    </row>
    <row r="257" customFormat="false" ht="15" hidden="false" customHeight="false" outlineLevel="0" collapsed="false">
      <c r="D257" s="41" t="n">
        <f aca="false">K257-INT(275*E257/9)+IF($A$8="common year",2,1)*INT((E257+9)/12)+30</f>
        <v>13</v>
      </c>
      <c r="E257" s="41" t="n">
        <f aca="false">IF(K257&lt;32,1,INT(9*(IF($A$8="common year",2,1)+K257)/275+0.98))</f>
        <v>9</v>
      </c>
      <c r="F257" s="42" t="n">
        <f aca="false">AM257</f>
        <v>44.8264912384767</v>
      </c>
      <c r="G257" s="60" t="n">
        <f aca="false">F257+1.02/(TAN($A$10*(F257+10.3/(F257+5.11)))*60)</f>
        <v>44.8434718134226</v>
      </c>
      <c r="H257" s="43" t="n">
        <f aca="false">100*(1+COS($A$10*AQ257))/2</f>
        <v>91.7832446899996</v>
      </c>
      <c r="I257" s="43" t="n">
        <f aca="false">IF(AI257&gt;180,AT257-180,AT257+180)</f>
        <v>157.749917497503</v>
      </c>
      <c r="J257" s="61" t="n">
        <f aca="false">$J$2+K256</f>
        <v>2459835.5</v>
      </c>
      <c r="K257" s="21" t="n">
        <v>256</v>
      </c>
      <c r="L257" s="62" t="n">
        <f aca="false">(J257-2451545)/36525</f>
        <v>0.226981519507187</v>
      </c>
      <c r="M257" s="63" t="n">
        <f aca="false">MOD(280.46061837+360.98564736629*(J257-2451545)+0.000387933*L257^2-L257^3/38710000+$B$7,360)</f>
        <v>6.97012858325616</v>
      </c>
      <c r="N257" s="30" t="n">
        <f aca="false">0.606433+1336.855225*L257 - INT(0.606433+1336.855225*L257)</f>
        <v>0.0478633316221817</v>
      </c>
      <c r="O257" s="35" t="n">
        <f aca="false">22640*SIN(P257)-4586*SIN(P257-2*R257)+2370*SIN(2*R257)+769*SIN(2*P257)-668*SIN(Q257)-412*SIN(2*S257)-212*SIN(2*P257-2*R257)-206*SIN(P257+Q257-2*R257)+192*SIN(P257+2*R257)-165*SIN(Q257-2*R257)-125*SIN(R257)-110*SIN(P257+Q257)+148*SIN(P257-Q257)-55*SIN(2*S257-2*R257)</f>
        <v>22793.4555058533</v>
      </c>
      <c r="P257" s="32" t="n">
        <f aca="false">2*PI()*(0.374897+1325.55241*L257 - INT(0.374897+1325.55241*L257))</f>
        <v>1.57580533372907</v>
      </c>
      <c r="Q257" s="36" t="n">
        <f aca="false">2*PI()*(0.993133+99.997361*L257 - INT(0.993133+99.997361*L257))</f>
        <v>4.33970779085327</v>
      </c>
      <c r="R257" s="36" t="n">
        <f aca="false">2*PI()*(0.827361+1236.853086*L257 - INT(0.827361+1236.853086*L257))</f>
        <v>3.58238240268856</v>
      </c>
      <c r="S257" s="36" t="n">
        <f aca="false">2*PI()*(0.259086+1342.227825*L257 - INT(0.259086+1342.227825*L257))</f>
        <v>5.78051316191491</v>
      </c>
      <c r="T257" s="36" t="n">
        <f aca="false">S257+(O257+412*SIN(2*S257)+541*SIN(Q257))/206264.8062</f>
        <v>5.88688963208254</v>
      </c>
      <c r="U257" s="36" t="n">
        <f aca="false">S257-2*R257</f>
        <v>-1.38425164346221</v>
      </c>
      <c r="V257" s="34" t="n">
        <f aca="false">-526*SIN(U257)+44*SIN(P257+U257)-31*SIN(-P257+U257)-23*SIN(Q257+U257)+11*SIN(-Q257+U257)-25*SIN(-2*P257+S257)+21*SIN(-P257+S257)</f>
        <v>501.812984933165</v>
      </c>
      <c r="W257" s="36" t="n">
        <f aca="false">2*PI()*(N257+O257/1296000-INT(N257+O257/1296000))</f>
        <v>0.411239972691148</v>
      </c>
      <c r="X257" s="35" t="n">
        <f aca="false">W257*180/PI()</f>
        <v>23.562314802278</v>
      </c>
      <c r="Y257" s="36" t="n">
        <f aca="false">(18520*SIN(T257)+V257)/206264.8062</f>
        <v>-0.0322254530081094</v>
      </c>
      <c r="Z257" s="36" t="n">
        <f aca="false">Y257*180/PI()</f>
        <v>-1.84638245026183</v>
      </c>
      <c r="AA257" s="36" t="n">
        <f aca="false">COS(Y257)*COS(W257)</f>
        <v>0.916149945671705</v>
      </c>
      <c r="AB257" s="36" t="n">
        <f aca="false">COS(Y257)*SIN(W257)</f>
        <v>0.399538679797708</v>
      </c>
      <c r="AC257" s="36" t="n">
        <f aca="false">SIN(Y257)</f>
        <v>-0.0322198757172642</v>
      </c>
      <c r="AD257" s="36" t="n">
        <f aca="false">COS($A$10*(23.4393-46.815*L257/3600))*AB257-SIN($A$10*(23.4393-46.815*L257/3600))*AC257</f>
        <v>0.379392546330138</v>
      </c>
      <c r="AE257" s="36" t="n">
        <f aca="false">SIN($A$10*(23.4393-46.815*L257/3600))*AB257+COS($A$10*(23.4393-46.815*L257/3600))*AC257</f>
        <v>0.129346715593651</v>
      </c>
      <c r="AF257" s="36" t="n">
        <f aca="false">SQRT(1-AE257*AE257)</f>
        <v>0.991599428784192</v>
      </c>
      <c r="AG257" s="35" t="n">
        <f aca="false">ATAN(AE257/AF257)/$A$10</f>
        <v>7.43184315136736</v>
      </c>
      <c r="AH257" s="36" t="n">
        <f aca="false">IF(24*ATAN(AD257/(AA257+AF257))/PI()&gt;0,24*ATAN(AD257/(AA257+AF257))/PI(),24*ATAN(AD257/(AA257+AF257))/PI()+24)</f>
        <v>1.49968259865211</v>
      </c>
      <c r="AI257" s="63" t="n">
        <f aca="false">IF(M257-15*AH257&gt;0,M257-15*AH257,360+M257-15*AH257)</f>
        <v>344.474889603475</v>
      </c>
      <c r="AJ257" s="32" t="n">
        <f aca="false">0.950724+0.051818*COS(P257)+0.009531*COS(2*R257-P257)+0.007843*COS(2*R257)+0.002824*COS(2*P257)+0.000857*COS(2*R257+P257)+0.000533*COS(2*R257-Q257)*(1-0.002495*(J257-2415020)/36525)+0.000401*COS(2*R257-Q257-P257)*(1-0.002495*(J257-2415020)/36525)+0.00032*COS(P257-Q257)*(1-0.002495*(J257-2415020)/36525)-0.000271*COS(R257)</f>
        <v>0.958859077038267</v>
      </c>
      <c r="AK257" s="36" t="n">
        <f aca="false">ASIN(COS($A$10*$B$5)*COS($A$10*AG257)*COS($A$10*AI257)+SIN($A$10*$B$5)*SIN($A$10*AG257))/$A$10</f>
        <v>45.4972611333249</v>
      </c>
      <c r="AL257" s="32" t="n">
        <f aca="false">ASIN((0.9983271+0.0016764*COS($A$10*2*$B$5))*COS($A$10*AK257)*SIN($A$10*AJ257))/$A$10</f>
        <v>0.670769894848171</v>
      </c>
      <c r="AM257" s="32" t="n">
        <f aca="false">AK257-AL257</f>
        <v>44.8264912384767</v>
      </c>
      <c r="AN257" s="35" t="n">
        <f aca="false"> MOD(280.4664567 + 360007.6982779*L257/10 + 0.03032028*L257^2/100 + L257^3/49931000,360)</f>
        <v>171.975911261688</v>
      </c>
      <c r="AO257" s="32" t="n">
        <f aca="false"> AN257 + (1.9146 - 0.004817*L257 - 0.000014*L257^2)*SIN(Q257)+ (0.019993 - 0.000101*L257)*SIN(2*Q257)+ 0.00029*SIN(3*Q257)</f>
        <v>170.207430369978</v>
      </c>
      <c r="AP257" s="32" t="n">
        <f aca="false">ACOS(COS(W257-$A$10*AO257)*COS(Y257))/$A$10</f>
        <v>146.599950489066</v>
      </c>
      <c r="AQ257" s="34" t="n">
        <f aca="false">180 - AP257 -0.1468*(1-0.0549*SIN(Q257))*SIN($A$10*AP257)/(1-0.0167*SIN($A$10*AO257))</f>
        <v>33.3148649173128</v>
      </c>
      <c r="AR257" s="64" t="n">
        <f aca="false">SIN($A$10*AI257)</f>
        <v>-0.26766067021152</v>
      </c>
      <c r="AS257" s="64" t="n">
        <f aca="false">COS($A$10*AI257)*SIN($A$10*$B$5) - TAN($A$10*AG257)*COS($A$10*$B$5)</f>
        <v>0.654247136773459</v>
      </c>
      <c r="AT257" s="24" t="n">
        <f aca="false">IF(OR(AND(AR257*AS257&gt;0), AND(AR257&lt;0,AS257&gt;0)), MOD(ATAN2(AS257,AR257)/$A$10+360,360),  ATAN2(AS257,AR257)/$A$10)</f>
        <v>337.749917497503</v>
      </c>
      <c r="AU257" s="39" t="n">
        <f aca="false"> 385000.56 + (-20905355*COS(P257) - 3699111*COS(2*R257-P257) - 2955968*COS(2*R257) - 569925*COS(2*P257) + (1-0.002516*L257)*48888*COS(Q257) - 3149*COS(2*S257)  +246158*COS(2*R257-2*P257) -(1 - 0.002516*L257)*152138*COS(2*R257-Q257-P257) -170733*COS(2*R257+P257) -(1 - 0.002516*L257)*204586*COS(2*R257-Q257) -(1 - 0.002516*L257)*129620*COS(Q257-P257)  + 108743*COS(R257) +(1-0.002516*L257)*104755*COS(Q257+P257) +10321*COS(2*R257-2*S257) +79661*COS(P257-2*S257) -34782*COS(4*R257-P257) -23210*COS(3*P257)  -21636*COS(4*R257-2*P257) +(1 - 0.002516*L257)*24208*COS(2*R257+Q257-P257) +(1 - 0.002516*L257)*30824*COS(2*R257+Q257) -8379*COS(R257-P257) -(1 - 0.002516*L257)*16675*COS(R257+Q257)  -(1 - 0.002516*L257)*12831*COS(2*R257-Q257+P257) -10445*COS(2*R257+2*P257) -11650*COS(4*R257) +14403*COS(2*R257-3*P257) -(1-0.002516*L257)*7003*COS(Q257-2*P257)  + (1 - 0.002516*L257)*10056*COS(2*R257-Q257-2*P257) +6322*COS(R257+P257) -(1 - 0.002516*L257)*(1-0.002516*L257)*9884*COS(2*R257-2*Q257) +(1-0.002516*L257)*5751*COS(Q257+2*P257) - (1-0.002516*L257)^2*4950*COS(2*R257-2*Q257-P257)  +4130*COS(2*R257+P257-2*S257) -(1-0.002516*L257)*3958*COS(4*R257-Q257-P257) +3258*COS(3*R257-P257) +(1 - 0.002516*L257)*2616*COS(2*R257+Q257+P257) -(1 - 0.002516*L257)*1897*COS(4*R257-Q257-2*P257)  -(1-0.002516*L257)^2*2117*COS(2*Q257-P257) +(1-0.002516*L257)^2*2354*COS(2*R257+2*Q257-P257) -1423*COS(4*R257+P257) -1117*COS(4*P257) -(1-0.002516*L257)*1571*COS(4*R257-Q257)  -1739*COS(R257-2*P257) -4421*COS(2*P257-2*S257) +(1-0.002516*L257)^2*1165*COS(2*Q257+P257) +8752*COS(2*R257-P257-2*S257))/1000</f>
        <v>381083.847327601</v>
      </c>
      <c r="AV257" s="54" t="n">
        <f aca="false">ATAN(0.99664719*TAN($A$10*input!$E$2))</f>
        <v>0.871010436227447</v>
      </c>
      <c r="AW257" s="54" t="n">
        <f aca="false">COS(AV257)</f>
        <v>0.644053912545845</v>
      </c>
      <c r="AX257" s="54" t="n">
        <f aca="false">0.99664719*SIN(AV257)</f>
        <v>0.762415269897027</v>
      </c>
      <c r="AY257" s="54" t="n">
        <f aca="false">6378.14/AU257</f>
        <v>0.0167368416287584</v>
      </c>
      <c r="AZ257" s="55" t="n">
        <f aca="false">M257-15*AH257</f>
        <v>-15.5251103965255</v>
      </c>
      <c r="BA257" s="56" t="n">
        <f aca="false">COS($A$10*AG257)*SIN($A$10*AZ257)</f>
        <v>-0.265412167689738</v>
      </c>
      <c r="BB257" s="56" t="n">
        <f aca="false">COS($A$10*AG257)*COS($A$10*AZ257)-AW257*AY257</f>
        <v>0.944639751087318</v>
      </c>
      <c r="BC257" s="56" t="n">
        <f aca="false">SIN($A$10*AG257)-AX257*AY257</f>
        <v>0.116586291966038</v>
      </c>
      <c r="BD257" s="57" t="n">
        <f aca="false">SQRT(BA257^2+BB257^2+BC257^2)</f>
        <v>0.988119548215936</v>
      </c>
      <c r="BE257" s="58" t="n">
        <f aca="false">AU257*BD257</f>
        <v>376556.39905374</v>
      </c>
    </row>
    <row r="258" customFormat="false" ht="15" hidden="false" customHeight="false" outlineLevel="0" collapsed="false">
      <c r="D258" s="41" t="n">
        <f aca="false">K258-INT(275*E258/9)+IF($A$8="common year",2,1)*INT((E258+9)/12)+30</f>
        <v>14</v>
      </c>
      <c r="E258" s="41" t="n">
        <f aca="false">IF(K258&lt;32,1,INT(9*(IF($A$8="common year",2,1)+K258)/275+0.98))</f>
        <v>9</v>
      </c>
      <c r="F258" s="42" t="n">
        <f aca="false">AM258</f>
        <v>46.49073481457</v>
      </c>
      <c r="G258" s="60" t="n">
        <f aca="false">F258+1.02/(TAN($A$10*(F258+10.3/(F258+5.11)))*60)</f>
        <v>46.5067602139931</v>
      </c>
      <c r="H258" s="43" t="n">
        <f aca="false">100*(1+COS($A$10*AQ258))/2</f>
        <v>85.0879731773265</v>
      </c>
      <c r="I258" s="43" t="n">
        <f aca="false">IF(AI258&gt;180,AT258-180,AT258+180)</f>
        <v>140.011930131076</v>
      </c>
      <c r="J258" s="61" t="n">
        <f aca="false">$J$2+K257</f>
        <v>2459836.5</v>
      </c>
      <c r="K258" s="21" t="n">
        <v>257</v>
      </c>
      <c r="L258" s="62" t="n">
        <f aca="false">(J258-2451545)/36525</f>
        <v>0.227008898015058</v>
      </c>
      <c r="M258" s="63" t="n">
        <f aca="false">MOD(280.46061837+360.98564736629*(J258-2451545)+0.000387933*L258^2-L258^3/38710000+$B$7,360)</f>
        <v>7.95577595429495</v>
      </c>
      <c r="N258" s="30" t="n">
        <f aca="false">0.606433+1336.855225*L258 - INT(0.606433+1336.855225*L258)</f>
        <v>0.0844644329226298</v>
      </c>
      <c r="O258" s="35" t="n">
        <f aca="false">22640*SIN(P258)-4586*SIN(P258-2*R258)+2370*SIN(2*R258)+769*SIN(2*P258)-668*SIN(Q258)-412*SIN(2*S258)-212*SIN(2*P258-2*R258)-206*SIN(P258+Q258-2*R258)+192*SIN(P258+2*R258)-165*SIN(Q258-2*R258)-125*SIN(R258)-110*SIN(P258+Q258)+148*SIN(P258-Q258)-55*SIN(2*S258-2*R258)</f>
        <v>22721.2791611305</v>
      </c>
      <c r="P258" s="32" t="n">
        <f aca="false">2*PI()*(0.374897+1325.55241*L258 - INT(0.374897+1325.55241*L258))</f>
        <v>1.80383247750489</v>
      </c>
      <c r="Q258" s="36" t="n">
        <f aca="false">2*PI()*(0.993133+99.997361*L258 - INT(0.993133+99.997361*L258))</f>
        <v>4.35690976072027</v>
      </c>
      <c r="R258" s="36" t="n">
        <f aca="false">2*PI()*(0.827361+1236.853086*L258 - INT(0.827361+1236.853086*L258))</f>
        <v>3.79515111280758</v>
      </c>
      <c r="S258" s="36" t="n">
        <f aca="false">2*PI()*(0.259086+1342.227825*L258 - INT(0.259086+1342.227825*L258))</f>
        <v>6.01140888125592</v>
      </c>
      <c r="T258" s="36" t="n">
        <f aca="false">S258+(O258+412*SIN(2*S258)+541*SIN(Q258))/206264.8062</f>
        <v>6.11807285756997</v>
      </c>
      <c r="U258" s="36" t="n">
        <f aca="false">S258-2*R258</f>
        <v>-1.57889334435925</v>
      </c>
      <c r="V258" s="34" t="n">
        <f aca="false">-526*SIN(U258)+44*SIN(P258+U258)-31*SIN(-P258+U258)-23*SIN(Q258+U258)+11*SIN(-Q258+U258)-25*SIN(-2*P258+S258)+21*SIN(-P258+S258)</f>
        <v>488.761494993436</v>
      </c>
      <c r="W258" s="36" t="n">
        <f aca="false">2*PI()*(N258+O258/1296000-INT(N258+O258/1296000))</f>
        <v>0.640861553814974</v>
      </c>
      <c r="X258" s="35" t="n">
        <f aca="false">W258*180/PI()</f>
        <v>36.7186622857941</v>
      </c>
      <c r="Y258" s="36" t="n">
        <f aca="false">(18520*SIN(T258)+V258)/206264.8062</f>
        <v>-0.0123881818952867</v>
      </c>
      <c r="Z258" s="36" t="n">
        <f aca="false">Y258*180/PI()</f>
        <v>-0.709790538440304</v>
      </c>
      <c r="AA258" s="36" t="n">
        <f aca="false">COS(Y258)*COS(W258)</f>
        <v>0.801519436904292</v>
      </c>
      <c r="AB258" s="36" t="n">
        <f aca="false">COS(Y258)*SIN(W258)</f>
        <v>0.597840390961088</v>
      </c>
      <c r="AC258" s="36" t="n">
        <f aca="false">SIN(Y258)</f>
        <v>-0.0123878650347616</v>
      </c>
      <c r="AD258" s="36" t="n">
        <f aca="false">COS($A$10*(23.4393-46.815*L258/3600))*AB258-SIN($A$10*(23.4393-46.815*L258/3600))*AC258</f>
        <v>0.553447075543157</v>
      </c>
      <c r="AE258" s="36" t="n">
        <f aca="false">SIN($A$10*(23.4393-46.815*L258/3600))*AB258+COS($A$10*(23.4393-46.815*L258/3600))*AC258</f>
        <v>0.226413177260852</v>
      </c>
      <c r="AF258" s="36" t="n">
        <f aca="false">SQRT(1-AE258*AE258)</f>
        <v>0.974031351221636</v>
      </c>
      <c r="AG258" s="35" t="n">
        <f aca="false">ATAN(AE258/AF258)/$A$10</f>
        <v>13.0859919889806</v>
      </c>
      <c r="AH258" s="36" t="n">
        <f aca="false">IF(24*ATAN(AD258/(AA258+AF258))/PI()&gt;0,24*ATAN(AD258/(AA258+AF258))/PI(),24*ATAN(AD258/(AA258+AF258))/PI()+24)</f>
        <v>2.30833182673049</v>
      </c>
      <c r="AI258" s="63" t="n">
        <f aca="false">IF(M258-15*AH258&gt;0,M258-15*AH258,360+M258-15*AH258)</f>
        <v>333.330798553338</v>
      </c>
      <c r="AJ258" s="32" t="n">
        <f aca="false">0.950724+0.051818*COS(P258)+0.009531*COS(2*R258-P258)+0.007843*COS(2*R258)+0.002824*COS(2*P258)+0.000857*COS(2*R258+P258)+0.000533*COS(2*R258-Q258)*(1-0.002495*(J258-2415020)/36525)+0.000401*COS(2*R258-Q258-P258)*(1-0.002495*(J258-2415020)/36525)+0.00032*COS(P258-Q258)*(1-0.002495*(J258-2415020)/36525)-0.000271*COS(R258)</f>
        <v>0.945278447155268</v>
      </c>
      <c r="AK258" s="36" t="n">
        <f aca="false">ASIN(COS($A$10*$B$5)*COS($A$10*AG258)*COS($A$10*AI258)+SIN($A$10*$B$5)*SIN($A$10*AG258))/$A$10</f>
        <v>47.1325335862479</v>
      </c>
      <c r="AL258" s="32" t="n">
        <f aca="false">ASIN((0.9983271+0.0016764*COS($A$10*2*$B$5))*COS($A$10*AK258)*SIN($A$10*AJ258))/$A$10</f>
        <v>0.641798771677853</v>
      </c>
      <c r="AM258" s="32" t="n">
        <f aca="false">AK258-AL258</f>
        <v>46.49073481457</v>
      </c>
      <c r="AN258" s="35" t="n">
        <f aca="false"> MOD(280.4664567 + 360007.6982779*L258/10 + 0.03032028*L258^2/100 + L258^3/49931000,360)</f>
        <v>172.961558625562</v>
      </c>
      <c r="AO258" s="32" t="n">
        <f aca="false"> AN258 + (1.9146 - 0.004817*L258 - 0.000014*L258^2)*SIN(Q258)+ (0.019993 - 0.000101*L258)*SIN(2*Q258)+ 0.00029*SIN(3*Q258)</f>
        <v>171.180857413389</v>
      </c>
      <c r="AP258" s="32" t="n">
        <f aca="false">ACOS(COS(W258-$A$10*AO258)*COS(Y258))/$A$10</f>
        <v>134.457880605245</v>
      </c>
      <c r="AQ258" s="34" t="n">
        <f aca="false">180 - AP258 -0.1468*(1-0.0549*SIN(Q258))*SIN($A$10*AP258)/(1-0.0167*SIN($A$10*AO258))</f>
        <v>45.4316629883239</v>
      </c>
      <c r="AR258" s="64" t="n">
        <f aca="false">SIN($A$10*AI258)</f>
        <v>-0.448838714298692</v>
      </c>
      <c r="AS258" s="64" t="n">
        <f aca="false">COS($A$10*AI258)*SIN($A$10*$B$5) - TAN($A$10*AG258)*COS($A$10*$B$5)</f>
        <v>0.535131398749877</v>
      </c>
      <c r="AT258" s="24" t="n">
        <f aca="false">IF(OR(AND(AR258*AS258&gt;0), AND(AR258&lt;0,AS258&gt;0)), MOD(ATAN2(AS258,AR258)/$A$10+360,360),  ATAN2(AS258,AR258)/$A$10)</f>
        <v>320.011930131076</v>
      </c>
      <c r="AU258" s="39" t="n">
        <f aca="false"> 385000.56 + (-20905355*COS(P258) - 3699111*COS(2*R258-P258) - 2955968*COS(2*R258) - 569925*COS(2*P258) + (1-0.002516*L258)*48888*COS(Q258) - 3149*COS(2*S258)  +246158*COS(2*R258-2*P258) -(1 - 0.002516*L258)*152138*COS(2*R258-Q258-P258) -170733*COS(2*R258+P258) -(1 - 0.002516*L258)*204586*COS(2*R258-Q258) -(1 - 0.002516*L258)*129620*COS(Q258-P258)  + 108743*COS(R258) +(1-0.002516*L258)*104755*COS(Q258+P258) +10321*COS(2*R258-2*S258) +79661*COS(P258-2*S258) -34782*COS(4*R258-P258) -23210*COS(3*P258)  -21636*COS(4*R258-2*P258) +(1 - 0.002516*L258)*24208*COS(2*R258+Q258-P258) +(1 - 0.002516*L258)*30824*COS(2*R258+Q258) -8379*COS(R258-P258) -(1 - 0.002516*L258)*16675*COS(R258+Q258)  -(1 - 0.002516*L258)*12831*COS(2*R258-Q258+P258) -10445*COS(2*R258+2*P258) -11650*COS(4*R258) +14403*COS(2*R258-3*P258) -(1-0.002516*L258)*7003*COS(Q258-2*P258)  + (1 - 0.002516*L258)*10056*COS(2*R258-Q258-2*P258) +6322*COS(R258+P258) -(1 - 0.002516*L258)*(1-0.002516*L258)*9884*COS(2*R258-2*Q258) +(1-0.002516*L258)*5751*COS(Q258+2*P258) - (1-0.002516*L258)^2*4950*COS(2*R258-2*Q258-P258)  +4130*COS(2*R258+P258-2*S258) -(1-0.002516*L258)*3958*COS(4*R258-Q258-P258) +3258*COS(3*R258-P258) +(1 - 0.002516*L258)*2616*COS(2*R258+Q258+P258) -(1 - 0.002516*L258)*1897*COS(4*R258-Q258-2*P258)  -(1-0.002516*L258)^2*2117*COS(2*Q258-P258) +(1-0.002516*L258)^2*2354*COS(2*R258+2*Q258-P258) -1423*COS(4*R258+P258) -1117*COS(4*P258) -(1-0.002516*L258)*1571*COS(4*R258-Q258)  -1739*COS(R258-2*P258) -4421*COS(2*P258-2*S258) +(1-0.002516*L258)^2*1165*COS(2*Q258+P258) +8752*COS(2*R258-P258-2*S258))/1000</f>
        <v>386522.781804904</v>
      </c>
      <c r="AV258" s="54" t="n">
        <f aca="false">ATAN(0.99664719*TAN($A$10*input!$E$2))</f>
        <v>0.871010436227447</v>
      </c>
      <c r="AW258" s="54" t="n">
        <f aca="false">COS(AV258)</f>
        <v>0.644053912545845</v>
      </c>
      <c r="AX258" s="54" t="n">
        <f aca="false">0.99664719*SIN(AV258)</f>
        <v>0.762415269897027</v>
      </c>
      <c r="AY258" s="54" t="n">
        <f aca="false">6378.14/AU258</f>
        <v>0.0165013300644704</v>
      </c>
      <c r="AZ258" s="55" t="n">
        <f aca="false">M258-15*AH258</f>
        <v>-26.6692014466624</v>
      </c>
      <c r="BA258" s="56" t="n">
        <f aca="false">COS($A$10*AG258)*SIN($A$10*AZ258)</f>
        <v>-0.437182979368938</v>
      </c>
      <c r="BB258" s="56" t="n">
        <f aca="false">COS($A$10*AG258)*COS($A$10*AZ258)-AW258*AY258</f>
        <v>0.859779121724276</v>
      </c>
      <c r="BC258" s="56" t="n">
        <f aca="false">SIN($A$10*AG258)-AX258*AY258</f>
        <v>0.213832311246089</v>
      </c>
      <c r="BD258" s="57" t="n">
        <f aca="false">SQRT(BA258^2+BB258^2+BC258^2)</f>
        <v>0.987964246790193</v>
      </c>
      <c r="BE258" s="58" t="n">
        <f aca="false">AU258*BD258</f>
        <v>381870.688993132</v>
      </c>
    </row>
    <row r="259" customFormat="false" ht="15" hidden="false" customHeight="false" outlineLevel="0" collapsed="false">
      <c r="D259" s="41" t="n">
        <f aca="false">K259-INT(275*E259/9)+IF($A$8="common year",2,1)*INT((E259+9)/12)+30</f>
        <v>15</v>
      </c>
      <c r="E259" s="41" t="n">
        <f aca="false">IF(K259&lt;32,1,INT(9*(IF($A$8="common year",2,1)+K259)/275+0.98))</f>
        <v>9</v>
      </c>
      <c r="F259" s="42" t="n">
        <f aca="false">AM259</f>
        <v>45.3124672099509</v>
      </c>
      <c r="G259" s="60" t="n">
        <f aca="false">F259+1.02/(TAN($A$10*(F259+10.3/(F259+5.11)))*60)</f>
        <v>45.3291633021874</v>
      </c>
      <c r="H259" s="43" t="n">
        <f aca="false">100*(1+COS($A$10*AQ259))/2</f>
        <v>77.0929944369643</v>
      </c>
      <c r="I259" s="43" t="n">
        <f aca="false">IF(AI259&gt;180,AT259-180,AT259+180)</f>
        <v>122.705921541625</v>
      </c>
      <c r="J259" s="61" t="n">
        <f aca="false">$J$2+K258</f>
        <v>2459837.5</v>
      </c>
      <c r="K259" s="21" t="n">
        <v>258</v>
      </c>
      <c r="L259" s="62" t="n">
        <f aca="false">(J259-2451545)/36525</f>
        <v>0.22703627652293</v>
      </c>
      <c r="M259" s="63" t="n">
        <f aca="false">MOD(280.46061837+360.98564736629*(J259-2451545)+0.000387933*L259^2-L259^3/38710000+$B$7,360)</f>
        <v>8.94142332533374</v>
      </c>
      <c r="N259" s="30" t="n">
        <f aca="false">0.606433+1336.855225*L259 - INT(0.606433+1336.855225*L259)</f>
        <v>0.121065534223078</v>
      </c>
      <c r="O259" s="35" t="n">
        <f aca="false">22640*SIN(P259)-4586*SIN(P259-2*R259)+2370*SIN(2*R259)+769*SIN(2*P259)-668*SIN(Q259)-412*SIN(2*S259)-212*SIN(2*P259-2*R259)-206*SIN(P259+Q259-2*R259)+192*SIN(P259+2*R259)-165*SIN(Q259-2*R259)-125*SIN(R259)-110*SIN(P259+Q259)+148*SIN(P259-Q259)-55*SIN(2*S259-2*R259)</f>
        <v>21204.2880201808</v>
      </c>
      <c r="P259" s="32" t="n">
        <f aca="false">2*PI()*(0.374897+1325.55241*L259 - INT(0.374897+1325.55241*L259))</f>
        <v>2.03185962128035</v>
      </c>
      <c r="Q259" s="36" t="n">
        <f aca="false">2*PI()*(0.993133+99.997361*L259 - INT(0.993133+99.997361*L259))</f>
        <v>4.37411173058724</v>
      </c>
      <c r="R259" s="36" t="n">
        <f aca="false">2*PI()*(0.827361+1236.853086*L259 - INT(0.827361+1236.853086*L259))</f>
        <v>4.00791982292625</v>
      </c>
      <c r="S259" s="36" t="n">
        <f aca="false">2*PI()*(0.259086+1342.227825*L259 - INT(0.259086+1342.227825*L259))</f>
        <v>6.24230460059657</v>
      </c>
      <c r="T259" s="36" t="n">
        <f aca="false">S259+(O259+412*SIN(2*S259)+541*SIN(Q259))/206264.8062</f>
        <v>6.34246855918692</v>
      </c>
      <c r="U259" s="36" t="n">
        <f aca="false">S259-2*R259</f>
        <v>-1.77353504525594</v>
      </c>
      <c r="V259" s="34" t="n">
        <f aca="false">-526*SIN(U259)+44*SIN(P259+U259)-31*SIN(-P259+U259)-23*SIN(Q259+U259)+11*SIN(-Q259+U259)-25*SIN(-2*P259+S259)+21*SIN(-P259+S259)</f>
        <v>458.076340076187</v>
      </c>
      <c r="W259" s="36" t="n">
        <f aca="false">2*PI()*(N259+O259/1296000-INT(N259+O259/1296000))</f>
        <v>0.863478475139998</v>
      </c>
      <c r="X259" s="35" t="n">
        <f aca="false">W259*180/PI()</f>
        <v>49.4736723259138</v>
      </c>
      <c r="Y259" s="36" t="n">
        <f aca="false">(18520*SIN(T259)+V259)/206264.8062</f>
        <v>0.00754059404572215</v>
      </c>
      <c r="Z259" s="36" t="n">
        <f aca="false">Y259*180/PI()</f>
        <v>0.432044213841358</v>
      </c>
      <c r="AA259" s="36" t="n">
        <f aca="false">COS(Y259)*COS(W259)</f>
        <v>0.649778915957402</v>
      </c>
      <c r="AB259" s="36" t="n">
        <f aca="false">COS(Y259)*SIN(W259)</f>
        <v>0.760085851003925</v>
      </c>
      <c r="AC259" s="36" t="n">
        <f aca="false">SIN(Y259)</f>
        <v>0.0075405225855271</v>
      </c>
      <c r="AD259" s="36" t="n">
        <f aca="false">COS($A$10*(23.4393-46.815*L259/3600))*AB259-SIN($A$10*(23.4393-46.815*L259/3600))*AC259</f>
        <v>0.694381573548294</v>
      </c>
      <c r="AE259" s="36" t="n">
        <f aca="false">SIN($A$10*(23.4393-46.815*L259/3600))*AB259+COS($A$10*(23.4393-46.815*L259/3600))*AC259</f>
        <v>0.309227409350819</v>
      </c>
      <c r="AF259" s="36" t="n">
        <f aca="false">SQRT(1-AE259*AE259)</f>
        <v>0.950988122589437</v>
      </c>
      <c r="AG259" s="35" t="n">
        <f aca="false">ATAN(AE259/AF259)/$A$10</f>
        <v>18.0126767687447</v>
      </c>
      <c r="AH259" s="36" t="n">
        <f aca="false">IF(24*ATAN(AD259/(AA259+AF259))/PI()&gt;0,24*ATAN(AD259/(AA259+AF259))/PI(),24*ATAN(AD259/(AA259+AF259))/PI()+24)</f>
        <v>3.12670147255885</v>
      </c>
      <c r="AI259" s="63" t="n">
        <f aca="false">IF(M259-15*AH259&gt;0,M259-15*AH259,360+M259-15*AH259)</f>
        <v>322.040901236951</v>
      </c>
      <c r="AJ259" s="32" t="n">
        <f aca="false">0.950724+0.051818*COS(P259)+0.009531*COS(2*R259-P259)+0.007843*COS(2*R259)+0.002824*COS(2*P259)+0.000857*COS(2*R259+P259)+0.000533*COS(2*R259-Q259)*(1-0.002495*(J259-2415020)/36525)+0.000401*COS(2*R259-Q259-P259)*(1-0.002495*(J259-2415020)/36525)+0.00032*COS(P259-Q259)*(1-0.002495*(J259-2415020)/36525)-0.000271*COS(R259)</f>
        <v>0.932582871962019</v>
      </c>
      <c r="AK259" s="36" t="n">
        <f aca="false">ASIN(COS($A$10*$B$5)*COS($A$10*AG259)*COS($A$10*AI259)+SIN($A$10*$B$5)*SIN($A$10*AG259))/$A$10</f>
        <v>45.9594798901491</v>
      </c>
      <c r="AL259" s="32" t="n">
        <f aca="false">ASIN((0.9983271+0.0016764*COS($A$10*2*$B$5))*COS($A$10*AK259)*SIN($A$10*AJ259))/$A$10</f>
        <v>0.647012680198241</v>
      </c>
      <c r="AM259" s="32" t="n">
        <f aca="false">AK259-AL259</f>
        <v>45.3124672099509</v>
      </c>
      <c r="AN259" s="35" t="n">
        <f aca="false"> MOD(280.4664567 + 360007.6982779*L259/10 + 0.03032028*L259^2/100 + L259^3/49931000,360)</f>
        <v>173.947205989434</v>
      </c>
      <c r="AO259" s="32" t="n">
        <f aca="false"> AN259 + (1.9146 - 0.004817*L259 - 0.000014*L259^2)*SIN(Q259)+ (0.019993 - 0.000101*L259)*SIN(2*Q259)+ 0.00029*SIN(3*Q259)</f>
        <v>172.154799470085</v>
      </c>
      <c r="AP259" s="32" t="n">
        <f aca="false">ACOS(COS(W259-$A$10*AO259)*COS(Y259))/$A$10</f>
        <v>122.680082155087</v>
      </c>
      <c r="AQ259" s="34" t="n">
        <f aca="false">180 - AP259 -0.1468*(1-0.0549*SIN(Q259))*SIN($A$10*AP259)/(1-0.0167*SIN($A$10*AO259))</f>
        <v>57.1896604971132</v>
      </c>
      <c r="AR259" s="64" t="n">
        <f aca="false">SIN($A$10*AI259)</f>
        <v>-0.615098788159652</v>
      </c>
      <c r="AS259" s="64" t="n">
        <f aca="false">COS($A$10*AI259)*SIN($A$10*$B$5) - TAN($A$10*AG259)*COS($A$10*$B$5)</f>
        <v>0.394976181085658</v>
      </c>
      <c r="AT259" s="24" t="n">
        <f aca="false">IF(OR(AND(AR259*AS259&gt;0), AND(AR259&lt;0,AS259&gt;0)), MOD(ATAN2(AS259,AR259)/$A$10+360,360),  ATAN2(AS259,AR259)/$A$10)</f>
        <v>302.705921541625</v>
      </c>
      <c r="AU259" s="39" t="n">
        <f aca="false"> 385000.56 + (-20905355*COS(P259) - 3699111*COS(2*R259-P259) - 2955968*COS(2*R259) - 569925*COS(2*P259) + (1-0.002516*L259)*48888*COS(Q259) - 3149*COS(2*S259)  +246158*COS(2*R259-2*P259) -(1 - 0.002516*L259)*152138*COS(2*R259-Q259-P259) -170733*COS(2*R259+P259) -(1 - 0.002516*L259)*204586*COS(2*R259-Q259) -(1 - 0.002516*L259)*129620*COS(Q259-P259)  + 108743*COS(R259) +(1-0.002516*L259)*104755*COS(Q259+P259) +10321*COS(2*R259-2*S259) +79661*COS(P259-2*S259) -34782*COS(4*R259-P259) -23210*COS(3*P259)  -21636*COS(4*R259-2*P259) +(1 - 0.002516*L259)*24208*COS(2*R259+Q259-P259) +(1 - 0.002516*L259)*30824*COS(2*R259+Q259) -8379*COS(R259-P259) -(1 - 0.002516*L259)*16675*COS(R259+Q259)  -(1 - 0.002516*L259)*12831*COS(2*R259-Q259+P259) -10445*COS(2*R259+2*P259) -11650*COS(4*R259) +14403*COS(2*R259-3*P259) -(1-0.002516*L259)*7003*COS(Q259-2*P259)  + (1 - 0.002516*L259)*10056*COS(2*R259-Q259-2*P259) +6322*COS(R259+P259) -(1 - 0.002516*L259)*(1-0.002516*L259)*9884*COS(2*R259-2*Q259) +(1-0.002516*L259)*5751*COS(Q259+2*P259) - (1-0.002516*L259)^2*4950*COS(2*R259-2*Q259-P259)  +4130*COS(2*R259+P259-2*S259) -(1-0.002516*L259)*3958*COS(4*R259-Q259-P259) +3258*COS(3*R259-P259) +(1 - 0.002516*L259)*2616*COS(2*R259+Q259+P259) -(1 - 0.002516*L259)*1897*COS(4*R259-Q259-2*P259)  -(1-0.002516*L259)^2*2117*COS(2*Q259-P259) +(1-0.002516*L259)^2*2354*COS(2*R259+2*Q259-P259) -1423*COS(4*R259+P259) -1117*COS(4*P259) -(1-0.002516*L259)*1571*COS(4*R259-Q259)  -1739*COS(R259-2*P259) -4421*COS(2*P259-2*S259) +(1-0.002516*L259)^2*1165*COS(2*Q259+P259) +8752*COS(2*R259-P259-2*S259))/1000</f>
        <v>391774.545807866</v>
      </c>
      <c r="AV259" s="54" t="n">
        <f aca="false">ATAN(0.99664719*TAN($A$10*input!$E$2))</f>
        <v>0.871010436227447</v>
      </c>
      <c r="AW259" s="54" t="n">
        <f aca="false">COS(AV259)</f>
        <v>0.644053912545845</v>
      </c>
      <c r="AX259" s="54" t="n">
        <f aca="false">0.99664719*SIN(AV259)</f>
        <v>0.762415269897027</v>
      </c>
      <c r="AY259" s="54" t="n">
        <f aca="false">6378.14/AU259</f>
        <v>0.0162801286307354</v>
      </c>
      <c r="AZ259" s="55" t="n">
        <f aca="false">M259-15*AH259</f>
        <v>-37.9590987630489</v>
      </c>
      <c r="BA259" s="56" t="n">
        <f aca="false">COS($A$10*AG259)*SIN($A$10*AZ259)</f>
        <v>-0.584951641758986</v>
      </c>
      <c r="BB259" s="56" t="n">
        <f aca="false">COS($A$10*AG259)*COS($A$10*AZ259)-AW259*AY259</f>
        <v>0.739321351937725</v>
      </c>
      <c r="BC259" s="56" t="n">
        <f aca="false">SIN($A$10*AG259)-AX259*AY259</f>
        <v>0.296815190686858</v>
      </c>
      <c r="BD259" s="57" t="n">
        <f aca="false">SQRT(BA259^2+BB259^2+BC259^2)</f>
        <v>0.988364174811104</v>
      </c>
      <c r="BE259" s="58" t="n">
        <f aca="false">AU259*BD259</f>
        <v>387215.925679387</v>
      </c>
    </row>
    <row r="260" customFormat="false" ht="15" hidden="false" customHeight="false" outlineLevel="0" collapsed="false">
      <c r="D260" s="41" t="n">
        <f aca="false">K260-INT(275*E260/9)+IF($A$8="common year",2,1)*INT((E260+9)/12)+30</f>
        <v>16</v>
      </c>
      <c r="E260" s="41" t="n">
        <f aca="false">IF(K260&lt;32,1,INT(9*(IF($A$8="common year",2,1)+K260)/275+0.98))</f>
        <v>9</v>
      </c>
      <c r="F260" s="42" t="n">
        <f aca="false">AM260</f>
        <v>41.7035904851582</v>
      </c>
      <c r="G260" s="60" t="n">
        <f aca="false">F260+1.02/(TAN($A$10*(F260+10.3/(F260+5.11)))*60)</f>
        <v>41.7225215938381</v>
      </c>
      <c r="H260" s="43" t="n">
        <f aca="false">100*(1+COS($A$10*AQ260))/2</f>
        <v>68.2292835650648</v>
      </c>
      <c r="I260" s="43" t="n">
        <f aca="false">IF(AI260&gt;180,AT260-180,AT260+180)</f>
        <v>107.312503011916</v>
      </c>
      <c r="J260" s="61" t="n">
        <f aca="false">$J$2+K259</f>
        <v>2459838.5</v>
      </c>
      <c r="K260" s="21" t="n">
        <v>259</v>
      </c>
      <c r="L260" s="62" t="n">
        <f aca="false">(J260-2451545)/36525</f>
        <v>0.227063655030801</v>
      </c>
      <c r="M260" s="63" t="n">
        <f aca="false">MOD(280.46061837+360.98564736629*(J260-2451545)+0.000387933*L260^2-L260^3/38710000+$B$7,360)</f>
        <v>9.9270706968382</v>
      </c>
      <c r="N260" s="30" t="n">
        <f aca="false">0.606433+1336.855225*L260 - INT(0.606433+1336.855225*L260)</f>
        <v>0.157666635523583</v>
      </c>
      <c r="O260" s="35" t="n">
        <f aca="false">22640*SIN(P260)-4586*SIN(P260-2*R260)+2370*SIN(2*R260)+769*SIN(2*P260)-668*SIN(Q260)-412*SIN(2*S260)-212*SIN(2*P260-2*R260)-206*SIN(P260+Q260-2*R260)+192*SIN(P260+2*R260)-165*SIN(Q260-2*R260)-125*SIN(R260)-110*SIN(P260+Q260)+148*SIN(P260-Q260)-55*SIN(2*S260-2*R260)</f>
        <v>18444.7542018197</v>
      </c>
      <c r="P260" s="32" t="n">
        <f aca="false">2*PI()*(0.374897+1325.55241*L260 - INT(0.374897+1325.55241*L260))</f>
        <v>2.25988676505617</v>
      </c>
      <c r="Q260" s="36" t="n">
        <f aca="false">2*PI()*(0.993133+99.997361*L260 - INT(0.993133+99.997361*L260))</f>
        <v>4.39131370045424</v>
      </c>
      <c r="R260" s="36" t="n">
        <f aca="false">2*PI()*(0.827361+1236.853086*L260 - INT(0.827361+1236.853086*L260))</f>
        <v>4.22068853304528</v>
      </c>
      <c r="S260" s="36" t="n">
        <f aca="false">2*PI()*(0.259086+1342.227825*L260 - INT(0.259086+1342.227825*L260))</f>
        <v>0.190015012757984</v>
      </c>
      <c r="T260" s="36" t="n">
        <f aca="false">S260+(O260+412*SIN(2*S260)+541*SIN(Q260))/206264.8062</f>
        <v>0.277689842913072</v>
      </c>
      <c r="U260" s="36" t="n">
        <f aca="false">S260-2*R260</f>
        <v>-8.25136205333257</v>
      </c>
      <c r="V260" s="34" t="n">
        <f aca="false">-526*SIN(U260)+44*SIN(P260+U260)-31*SIN(-P260+U260)-23*SIN(Q260+U260)+11*SIN(-Q260+U260)-25*SIN(-2*P260+S260)+21*SIN(-P260+S260)</f>
        <v>412.623965909125</v>
      </c>
      <c r="W260" s="36" t="n">
        <f aca="false">2*PI()*(N260+O260/1296000-INT(N260+O260/1296000))</f>
        <v>1.08007137957166</v>
      </c>
      <c r="X260" s="35" t="n">
        <f aca="false">W260*180/PI()</f>
        <v>61.8835316223287</v>
      </c>
      <c r="Y260" s="36" t="n">
        <f aca="false">(18520*SIN(T260)+V260)/206264.8062</f>
        <v>0.0266143272666853</v>
      </c>
      <c r="Z260" s="36" t="n">
        <f aca="false">Y260*180/PI()</f>
        <v>1.52488862696102</v>
      </c>
      <c r="AA260" s="36" t="n">
        <f aca="false">COS(Y260)*COS(W260)</f>
        <v>0.471098515127599</v>
      </c>
      <c r="AB260" s="36" t="n">
        <f aca="false">COS(Y260)*SIN(W260)</f>
        <v>0.881679099135924</v>
      </c>
      <c r="AC260" s="36" t="n">
        <f aca="false">SIN(Y260)</f>
        <v>0.0266111854571938</v>
      </c>
      <c r="AD260" s="36" t="n">
        <f aca="false">COS($A$10*(23.4393-46.815*L260/3600))*AB260-SIN($A$10*(23.4393-46.815*L260/3600))*AC260</f>
        <v>0.798358709447994</v>
      </c>
      <c r="AE260" s="36" t="n">
        <f aca="false">SIN($A$10*(23.4393-46.815*L260/3600))*AB260+COS($A$10*(23.4393-46.815*L260/3600))*AC260</f>
        <v>0.375086070246691</v>
      </c>
      <c r="AF260" s="36" t="n">
        <f aca="false">SQRT(1-AE260*AE260)</f>
        <v>0.92698998910824</v>
      </c>
      <c r="AG260" s="35" t="n">
        <f aca="false">ATAN(AE260/AF260)/$A$10</f>
        <v>22.0296326024222</v>
      </c>
      <c r="AH260" s="36" t="n">
        <f aca="false">IF(24*ATAN(AD260/(AA260+AF260))/PI()&gt;0,24*ATAN(AD260/(AA260+AF260))/PI(),24*ATAN(AD260/(AA260+AF260))/PI()+24)</f>
        <v>3.96372233766104</v>
      </c>
      <c r="AI260" s="63" t="n">
        <f aca="false">IF(M260-15*AH260&gt;0,M260-15*AH260,360+M260-15*AH260)</f>
        <v>310.471235631923</v>
      </c>
      <c r="AJ260" s="32" t="n">
        <f aca="false">0.950724+0.051818*COS(P260)+0.009531*COS(2*R260-P260)+0.007843*COS(2*R260)+0.002824*COS(2*P260)+0.000857*COS(2*R260+P260)+0.000533*COS(2*R260-Q260)*(1-0.002495*(J260-2415020)/36525)+0.000401*COS(2*R260-Q260-P260)*(1-0.002495*(J260-2415020)/36525)+0.00032*COS(P260-Q260)*(1-0.002495*(J260-2415020)/36525)-0.000271*COS(R260)</f>
        <v>0.921666850240766</v>
      </c>
      <c r="AK260" s="36" t="n">
        <f aca="false">ASIN(COS($A$10*$B$5)*COS($A$10*AG260)*COS($A$10*AI260)+SIN($A$10*$B$5)*SIN($A$10*AG260))/$A$10</f>
        <v>42.3830338335985</v>
      </c>
      <c r="AL260" s="32" t="n">
        <f aca="false">ASIN((0.9983271+0.0016764*COS($A$10*2*$B$5))*COS($A$10*AK260)*SIN($A$10*AJ260))/$A$10</f>
        <v>0.679443348440259</v>
      </c>
      <c r="AM260" s="32" t="n">
        <f aca="false">AK260-AL260</f>
        <v>41.7035904851582</v>
      </c>
      <c r="AN260" s="35" t="n">
        <f aca="false"> MOD(280.4664567 + 360007.6982779*L260/10 + 0.03032028*L260^2/100 + L260^3/49931000,360)</f>
        <v>174.932853353306</v>
      </c>
      <c r="AO260" s="32" t="n">
        <f aca="false"> AN260 + (1.9146 - 0.004817*L260 - 0.000014*L260^2)*SIN(Q260)+ (0.019993 - 0.000101*L260)*SIN(2*Q260)+ 0.00029*SIN(3*Q260)</f>
        <v>173.129260441899</v>
      </c>
      <c r="AP260" s="32" t="n">
        <f aca="false">ACOS(COS(W260-$A$10*AO260)*COS(Y260))/$A$10</f>
        <v>111.237840132896</v>
      </c>
      <c r="AQ260" s="34" t="n">
        <f aca="false">180 - AP260 -0.1468*(1-0.0549*SIN(Q260))*SIN($A$10*AP260)/(1-0.0167*SIN($A$10*AO260))</f>
        <v>68.6179135628067</v>
      </c>
      <c r="AR260" s="64" t="n">
        <f aca="false">SIN($A$10*AI260)</f>
        <v>-0.760731914067814</v>
      </c>
      <c r="AS260" s="64" t="n">
        <f aca="false">COS($A$10*AI260)*SIN($A$10*$B$5) - TAN($A$10*AG260)*COS($A$10*$B$5)</f>
        <v>0.237123728644481</v>
      </c>
      <c r="AT260" s="24" t="n">
        <f aca="false">IF(OR(AND(AR260*AS260&gt;0), AND(AR260&lt;0,AS260&gt;0)), MOD(ATAN2(AS260,AR260)/$A$10+360,360),  ATAN2(AS260,AR260)/$A$10)</f>
        <v>287.312503011916</v>
      </c>
      <c r="AU260" s="39" t="n">
        <f aca="false"> 385000.56 + (-20905355*COS(P260) - 3699111*COS(2*R260-P260) - 2955968*COS(2*R260) - 569925*COS(2*P260) + (1-0.002516*L260)*48888*COS(Q260) - 3149*COS(2*S260)  +246158*COS(2*R260-2*P260) -(1 - 0.002516*L260)*152138*COS(2*R260-Q260-P260) -170733*COS(2*R260+P260) -(1 - 0.002516*L260)*204586*COS(2*R260-Q260) -(1 - 0.002516*L260)*129620*COS(Q260-P260)  + 108743*COS(R260) +(1-0.002516*L260)*104755*COS(Q260+P260) +10321*COS(2*R260-2*S260) +79661*COS(P260-2*S260) -34782*COS(4*R260-P260) -23210*COS(3*P260)  -21636*COS(4*R260-2*P260) +(1 - 0.002516*L260)*24208*COS(2*R260+Q260-P260) +(1 - 0.002516*L260)*30824*COS(2*R260+Q260) -8379*COS(R260-P260) -(1 - 0.002516*L260)*16675*COS(R260+Q260)  -(1 - 0.002516*L260)*12831*COS(2*R260-Q260+P260) -10445*COS(2*R260+2*P260) -11650*COS(4*R260) +14403*COS(2*R260-3*P260) -(1-0.002516*L260)*7003*COS(Q260-2*P260)  + (1 - 0.002516*L260)*10056*COS(2*R260-Q260-2*P260) +6322*COS(R260+P260) -(1 - 0.002516*L260)*(1-0.002516*L260)*9884*COS(2*R260-2*Q260) +(1-0.002516*L260)*5751*COS(Q260+2*P260) - (1-0.002516*L260)^2*4950*COS(2*R260-2*Q260-P260)  +4130*COS(2*R260+P260-2*S260) -(1-0.002516*L260)*3958*COS(4*R260-Q260-P260) +3258*COS(3*R260-P260) +(1 - 0.002516*L260)*2616*COS(2*R260+Q260+P260) -(1 - 0.002516*L260)*1897*COS(4*R260-Q260-2*P260)  -(1-0.002516*L260)^2*2117*COS(2*Q260-P260) +(1-0.002516*L260)^2*2354*COS(2*R260+2*Q260-P260) -1423*COS(4*R260+P260) -1117*COS(4*P260) -(1-0.002516*L260)*1571*COS(4*R260-Q260)  -1739*COS(R260-2*P260) -4421*COS(2*P260-2*S260) +(1-0.002516*L260)^2*1165*COS(2*Q260+P260) +8752*COS(2*R260-P260-2*S260))/1000</f>
        <v>396451.337390882</v>
      </c>
      <c r="AV260" s="54" t="n">
        <f aca="false">ATAN(0.99664719*TAN($A$10*input!$E$2))</f>
        <v>0.871010436227447</v>
      </c>
      <c r="AW260" s="54" t="n">
        <f aca="false">COS(AV260)</f>
        <v>0.644053912545845</v>
      </c>
      <c r="AX260" s="54" t="n">
        <f aca="false">0.99664719*SIN(AV260)</f>
        <v>0.762415269897027</v>
      </c>
      <c r="AY260" s="54" t="n">
        <f aca="false">6378.14/AU260</f>
        <v>0.0160880779012519</v>
      </c>
      <c r="AZ260" s="55" t="n">
        <f aca="false">M260-15*AH260</f>
        <v>-49.5287643680774</v>
      </c>
      <c r="BA260" s="56" t="n">
        <f aca="false">COS($A$10*AG260)*SIN($A$10*AZ260)</f>
        <v>-0.705190868736013</v>
      </c>
      <c r="BB260" s="56" t="n">
        <f aca="false">COS($A$10*AG260)*COS($A$10*AZ260)-AW260*AY260</f>
        <v>0.591316296529568</v>
      </c>
      <c r="BC260" s="56" t="n">
        <f aca="false">SIN($A$10*AG260)-AX260*AY260</f>
        <v>0.362820273991484</v>
      </c>
      <c r="BD260" s="57" t="n">
        <f aca="false">SQRT(BA260^2+BB260^2+BC260^2)</f>
        <v>0.989235904680654</v>
      </c>
      <c r="BE260" s="58" t="n">
        <f aca="false">AU260*BD260</f>
        <v>392183.897405724</v>
      </c>
    </row>
    <row r="261" customFormat="false" ht="15" hidden="false" customHeight="false" outlineLevel="0" collapsed="false">
      <c r="D261" s="41" t="n">
        <f aca="false">K261-INT(275*E261/9)+IF($A$8="common year",2,1)*INT((E261+9)/12)+30</f>
        <v>17</v>
      </c>
      <c r="E261" s="41" t="n">
        <f aca="false">IF(K261&lt;32,1,INT(9*(IF($A$8="common year",2,1)+K261)/275+0.98))</f>
        <v>9</v>
      </c>
      <c r="F261" s="42" t="n">
        <f aca="false">AM261</f>
        <v>36.3016870636561</v>
      </c>
      <c r="G261" s="60" t="n">
        <f aca="false">F261+1.02/(TAN($A$10*(F261+10.3/(F261+5.11)))*60)</f>
        <v>36.32461902257</v>
      </c>
      <c r="H261" s="43" t="n">
        <f aca="false">100*(1+COS($A$10*AQ261))/2</f>
        <v>58.8711038826479</v>
      </c>
      <c r="I261" s="43" t="n">
        <f aca="false">IF(AI261&gt;180,AT261-180,AT261+180)</f>
        <v>94.3468561027508</v>
      </c>
      <c r="J261" s="61" t="n">
        <f aca="false">$J$2+K260</f>
        <v>2459839.5</v>
      </c>
      <c r="K261" s="21" t="n">
        <v>260</v>
      </c>
      <c r="L261" s="62" t="n">
        <f aca="false">(J261-2451545)/36525</f>
        <v>0.227091033538672</v>
      </c>
      <c r="M261" s="63" t="n">
        <f aca="false">MOD(280.46061837+360.98564736629*(J261-2451545)+0.000387933*L261^2-L261^3/38710000+$B$7,360)</f>
        <v>10.912718067877</v>
      </c>
      <c r="N261" s="30" t="n">
        <f aca="false">0.606433+1336.855225*L261 - INT(0.606433+1336.855225*L261)</f>
        <v>0.194267736824088</v>
      </c>
      <c r="O261" s="35" t="n">
        <f aca="false">22640*SIN(P261)-4586*SIN(P261-2*R261)+2370*SIN(2*R261)+769*SIN(2*P261)-668*SIN(Q261)-412*SIN(2*S261)-212*SIN(2*P261-2*R261)-206*SIN(P261+Q261-2*R261)+192*SIN(P261+2*R261)-165*SIN(Q261-2*R261)-125*SIN(R261)-110*SIN(P261+Q261)+148*SIN(P261-Q261)-55*SIN(2*S261-2*R261)</f>
        <v>14726.524637061</v>
      </c>
      <c r="P261" s="32" t="n">
        <f aca="false">2*PI()*(0.374897+1325.55241*L261 - INT(0.374897+1325.55241*L261))</f>
        <v>2.48791390883163</v>
      </c>
      <c r="Q261" s="36" t="n">
        <f aca="false">2*PI()*(0.993133+99.997361*L261 - INT(0.993133+99.997361*L261))</f>
        <v>4.40851567032123</v>
      </c>
      <c r="R261" s="36" t="n">
        <f aca="false">2*PI()*(0.827361+1236.853086*L261 - INT(0.827361+1236.853086*L261))</f>
        <v>4.4334572431643</v>
      </c>
      <c r="S261" s="36" t="n">
        <f aca="false">2*PI()*(0.259086+1342.227825*L261 - INT(0.259086+1342.227825*L261))</f>
        <v>0.420910732098988</v>
      </c>
      <c r="T261" s="36" t="n">
        <f aca="false">S261+(O261+412*SIN(2*S261)+541*SIN(Q261))/206264.8062</f>
        <v>0.491294062825476</v>
      </c>
      <c r="U261" s="36" t="n">
        <f aca="false">S261-2*R261</f>
        <v>-8.44600375422961</v>
      </c>
      <c r="V261" s="34" t="n">
        <f aca="false">-526*SIN(U261)+44*SIN(P261+U261)-31*SIN(-P261+U261)-23*SIN(Q261+U261)+11*SIN(-Q261+U261)-25*SIN(-2*P261+S261)+21*SIN(-P261+S261)</f>
        <v>355.353007648808</v>
      </c>
      <c r="W261" s="36" t="n">
        <f aca="false">2*PI()*(N261+O261/1296000-INT(N261+O261/1296000))</f>
        <v>1.29201639586458</v>
      </c>
      <c r="X261" s="35" t="n">
        <f aca="false">W261*180/PI()</f>
        <v>74.0270865447442</v>
      </c>
      <c r="Y261" s="36" t="n">
        <f aca="false">(18520*SIN(T261)+V261)/206264.8062</f>
        <v>0.0440816024216145</v>
      </c>
      <c r="Z261" s="36" t="n">
        <f aca="false">Y261*180/PI()</f>
        <v>2.52568977293218</v>
      </c>
      <c r="AA261" s="36" t="n">
        <f aca="false">COS(Y261)*COS(W261)</f>
        <v>0.274915566446857</v>
      </c>
      <c r="AB261" s="36" t="n">
        <f aca="false">COS(Y261)*SIN(W261)</f>
        <v>0.960457964716065</v>
      </c>
      <c r="AC261" s="36" t="n">
        <f aca="false">SIN(Y261)</f>
        <v>0.0440673273375785</v>
      </c>
      <c r="AD261" s="36" t="n">
        <f aca="false">COS($A$10*(23.4393-46.815*L261/3600))*AB261-SIN($A$10*(23.4393-46.815*L261/3600))*AC261</f>
        <v>0.863695686531204</v>
      </c>
      <c r="AE261" s="36" t="n">
        <f aca="false">SIN($A$10*(23.4393-46.815*L261/3600))*AB261+COS($A$10*(23.4393-46.815*L261/3600))*AC261</f>
        <v>0.422434838043214</v>
      </c>
      <c r="AF261" s="36" t="n">
        <f aca="false">SQRT(1-AE261*AE261)</f>
        <v>0.906393296316452</v>
      </c>
      <c r="AG261" s="35" t="n">
        <f aca="false">ATAN(AE261/AF261)/$A$10</f>
        <v>24.9884047030266</v>
      </c>
      <c r="AH261" s="36" t="n">
        <f aca="false">IF(24*ATAN(AD261/(AA261+AF261))/PI()&gt;0,24*ATAN(AD261/(AA261+AF261))/PI(),24*ATAN(AD261/(AA261+AF261))/PI()+24)</f>
        <v>4.82291020800751</v>
      </c>
      <c r="AI261" s="63" t="n">
        <f aca="false">IF(M261-15*AH261&gt;0,M261-15*AH261,360+M261-15*AH261)</f>
        <v>298.569064947764</v>
      </c>
      <c r="AJ261" s="32" t="n">
        <f aca="false">0.950724+0.051818*COS(P261)+0.009531*COS(2*R261-P261)+0.007843*COS(2*R261)+0.002824*COS(2*P261)+0.000857*COS(2*R261+P261)+0.000533*COS(2*R261-Q261)*(1-0.002495*(J261-2415020)/36525)+0.000401*COS(2*R261-Q261-P261)*(1-0.002495*(J261-2415020)/36525)+0.00032*COS(P261-Q261)*(1-0.002495*(J261-2415020)/36525)-0.000271*COS(R261)</f>
        <v>0.913134426152788</v>
      </c>
      <c r="AK261" s="36" t="n">
        <f aca="false">ASIN(COS($A$10*$B$5)*COS($A$10*AG261)*COS($A$10*AI261)+SIN($A$10*$B$5)*SIN($A$10*AG261))/$A$10</f>
        <v>37.0292252707586</v>
      </c>
      <c r="AL261" s="32" t="n">
        <f aca="false">ASIN((0.9983271+0.0016764*COS($A$10*2*$B$5))*COS($A$10*AK261)*SIN($A$10*AJ261))/$A$10</f>
        <v>0.727538207102434</v>
      </c>
      <c r="AM261" s="32" t="n">
        <f aca="false">AK261-AL261</f>
        <v>36.3016870636561</v>
      </c>
      <c r="AN261" s="35" t="n">
        <f aca="false"> MOD(280.4664567 + 360007.6982779*L261/10 + 0.03032028*L261^2/100 + L261^3/49931000,360)</f>
        <v>175.91850071718</v>
      </c>
      <c r="AO261" s="32" t="n">
        <f aca="false"> AN261 + (1.9146 - 0.004817*L261 - 0.000014*L261^2)*SIN(Q261)+ (0.019993 - 0.000101*L261)*SIN(2*Q261)+ 0.00029*SIN(3*Q261)</f>
        <v>174.104244091216</v>
      </c>
      <c r="AP261" s="32" t="n">
        <f aca="false">ACOS(COS(W261-$A$10*AO261)*COS(Y261))/$A$10</f>
        <v>100.067266174844</v>
      </c>
      <c r="AQ261" s="34" t="n">
        <f aca="false">180 - AP261 -0.1468*(1-0.0549*SIN(Q261))*SIN($A$10*AP261)/(1-0.0167*SIN($A$10*AO261))</f>
        <v>79.7803610159156</v>
      </c>
      <c r="AR261" s="64" t="n">
        <f aca="false">SIN($A$10*AI261)</f>
        <v>-0.878241302041597</v>
      </c>
      <c r="AS261" s="64" t="n">
        <f aca="false">COS($A$10*AI261)*SIN($A$10*$B$5) - TAN($A$10*AG261)*COS($A$10*$B$5)</f>
        <v>0.0667576201356295</v>
      </c>
      <c r="AT261" s="24" t="n">
        <f aca="false">IF(OR(AND(AR261*AS261&gt;0), AND(AR261&lt;0,AS261&gt;0)), MOD(ATAN2(AS261,AR261)/$A$10+360,360),  ATAN2(AS261,AR261)/$A$10)</f>
        <v>274.346856102751</v>
      </c>
      <c r="AU261" s="39" t="n">
        <f aca="false"> 385000.56 + (-20905355*COS(P261) - 3699111*COS(2*R261-P261) - 2955968*COS(2*R261) - 569925*COS(2*P261) + (1-0.002516*L261)*48888*COS(Q261) - 3149*COS(2*S261)  +246158*COS(2*R261-2*P261) -(1 - 0.002516*L261)*152138*COS(2*R261-Q261-P261) -170733*COS(2*R261+P261) -(1 - 0.002516*L261)*204586*COS(2*R261-Q261) -(1 - 0.002516*L261)*129620*COS(Q261-P261)  + 108743*COS(R261) +(1-0.002516*L261)*104755*COS(Q261+P261) +10321*COS(2*R261-2*S261) +79661*COS(P261-2*S261) -34782*COS(4*R261-P261) -23210*COS(3*P261)  -21636*COS(4*R261-2*P261) +(1 - 0.002516*L261)*24208*COS(2*R261+Q261-P261) +(1 - 0.002516*L261)*30824*COS(2*R261+Q261) -8379*COS(R261-P261) -(1 - 0.002516*L261)*16675*COS(R261+Q261)  -(1 - 0.002516*L261)*12831*COS(2*R261-Q261+P261) -10445*COS(2*R261+2*P261) -11650*COS(4*R261) +14403*COS(2*R261-3*P261) -(1-0.002516*L261)*7003*COS(Q261-2*P261)  + (1 - 0.002516*L261)*10056*COS(2*R261-Q261-2*P261) +6322*COS(R261+P261) -(1 - 0.002516*L261)*(1-0.002516*L261)*9884*COS(2*R261-2*Q261) +(1-0.002516*L261)*5751*COS(Q261+2*P261) - (1-0.002516*L261)^2*4950*COS(2*R261-2*Q261-P261)  +4130*COS(2*R261+P261-2*S261) -(1-0.002516*L261)*3958*COS(4*R261-Q261-P261) +3258*COS(3*R261-P261) +(1 - 0.002516*L261)*2616*COS(2*R261+Q261+P261) -(1 - 0.002516*L261)*1897*COS(4*R261-Q261-2*P261)  -(1-0.002516*L261)^2*2117*COS(2*Q261-P261) +(1-0.002516*L261)^2*2354*COS(2*R261+2*Q261-P261) -1423*COS(4*R261+P261) -1117*COS(4*P261) -(1-0.002516*L261)*1571*COS(4*R261-Q261)  -1739*COS(R261-2*P261) -4421*COS(2*P261-2*S261) +(1-0.002516*L261)^2*1165*COS(2*Q261+P261) +8752*COS(2*R261-P261-2*S261))/1000</f>
        <v>400235.654361997</v>
      </c>
      <c r="AV261" s="54" t="n">
        <f aca="false">ATAN(0.99664719*TAN($A$10*input!$E$2))</f>
        <v>0.871010436227447</v>
      </c>
      <c r="AW261" s="54" t="n">
        <f aca="false">COS(AV261)</f>
        <v>0.644053912545845</v>
      </c>
      <c r="AX261" s="54" t="n">
        <f aca="false">0.99664719*SIN(AV261)</f>
        <v>0.762415269897027</v>
      </c>
      <c r="AY261" s="54" t="n">
        <f aca="false">6378.14/AU261</f>
        <v>0.0159359615528686</v>
      </c>
      <c r="AZ261" s="55" t="n">
        <f aca="false">M261-15*AH261</f>
        <v>-61.4309350522356</v>
      </c>
      <c r="BA261" s="56" t="n">
        <f aca="false">COS($A$10*AG261)*SIN($A$10*AZ261)</f>
        <v>-0.796032028718736</v>
      </c>
      <c r="BB261" s="56" t="n">
        <f aca="false">COS($A$10*AG261)*COS($A$10*AZ261)-AW261*AY261</f>
        <v>0.423189743418172</v>
      </c>
      <c r="BC261" s="56" t="n">
        <f aca="false">SIN($A$10*AG261)-AX261*AY261</f>
        <v>0.410285017614815</v>
      </c>
      <c r="BD261" s="57" t="n">
        <f aca="false">SQRT(BA261^2+BB261^2+BC261^2)</f>
        <v>0.990500048137098</v>
      </c>
      <c r="BE261" s="58" t="n">
        <f aca="false">AU261*BD261</f>
        <v>396433.434911741</v>
      </c>
    </row>
    <row r="262" customFormat="false" ht="15" hidden="false" customHeight="false" outlineLevel="0" collapsed="false">
      <c r="D262" s="41" t="n">
        <f aca="false">K262-INT(275*E262/9)+IF($A$8="common year",2,1)*INT((E262+9)/12)+30</f>
        <v>18</v>
      </c>
      <c r="E262" s="41" t="n">
        <f aca="false">IF(K262&lt;32,1,INT(9*(IF($A$8="common year",2,1)+K262)/275+0.98))</f>
        <v>9</v>
      </c>
      <c r="F262" s="42" t="n">
        <f aca="false">AM262</f>
        <v>29.6780544189549</v>
      </c>
      <c r="G262" s="60" t="n">
        <f aca="false">F262+1.02/(TAN($A$10*(F262+10.3/(F262+5.11)))*60)</f>
        <v>29.7075300062083</v>
      </c>
      <c r="H262" s="43" t="n">
        <f aca="false">100*(1+COS($A$10*AQ262))/2</f>
        <v>49.3393425054972</v>
      </c>
      <c r="I262" s="43" t="n">
        <f aca="false">IF(AI262&gt;180,AT262-180,AT262+180)</f>
        <v>83.5589174126969</v>
      </c>
      <c r="J262" s="61" t="n">
        <f aca="false">$J$2+K261</f>
        <v>2459840.5</v>
      </c>
      <c r="K262" s="21" t="n">
        <v>261</v>
      </c>
      <c r="L262" s="62" t="n">
        <f aca="false">(J262-2451545)/36525</f>
        <v>0.227118412046543</v>
      </c>
      <c r="M262" s="63" t="n">
        <f aca="false">MOD(280.46061837+360.98564736629*(J262-2451545)+0.000387933*L262^2-L262^3/38710000+$B$7,360)</f>
        <v>11.8983654393815</v>
      </c>
      <c r="N262" s="30" t="n">
        <f aca="false">0.606433+1336.855225*L262 - INT(0.606433+1336.855225*L262)</f>
        <v>0.230868838124536</v>
      </c>
      <c r="O262" s="35" t="n">
        <f aca="false">22640*SIN(P262)-4586*SIN(P262-2*R262)+2370*SIN(2*R262)+769*SIN(2*P262)-668*SIN(Q262)-412*SIN(2*S262)-212*SIN(2*P262-2*R262)-206*SIN(P262+Q262-2*R262)+192*SIN(P262+2*R262)-165*SIN(Q262-2*R262)-125*SIN(R262)-110*SIN(P262+Q262)+148*SIN(P262-Q262)-55*SIN(2*S262-2*R262)</f>
        <v>10369.4137977674</v>
      </c>
      <c r="P262" s="32" t="n">
        <f aca="false">2*PI()*(0.374897+1325.55241*L262 - INT(0.374897+1325.55241*L262))</f>
        <v>2.71594105260744</v>
      </c>
      <c r="Q262" s="36" t="n">
        <f aca="false">2*PI()*(0.993133+99.997361*L262 - INT(0.993133+99.997361*L262))</f>
        <v>4.42571764018823</v>
      </c>
      <c r="R262" s="36" t="n">
        <f aca="false">2*PI()*(0.827361+1236.853086*L262 - INT(0.827361+1236.853086*L262))</f>
        <v>4.64622595328297</v>
      </c>
      <c r="S262" s="36" t="n">
        <f aca="false">2*PI()*(0.259086+1342.227825*L262 - INT(0.259086+1342.227825*L262))</f>
        <v>0.651806451439635</v>
      </c>
      <c r="T262" s="36" t="n">
        <f aca="false">S262+(O262+412*SIN(2*S262)+541*SIN(Q262))/206264.8062</f>
        <v>0.701489543458721</v>
      </c>
      <c r="U262" s="36" t="n">
        <f aca="false">S262-2*R262</f>
        <v>-8.6406454551263</v>
      </c>
      <c r="V262" s="34" t="n">
        <f aca="false">-526*SIN(U262)+44*SIN(P262+U262)-31*SIN(-P262+U262)-23*SIN(Q262+U262)+11*SIN(-Q262+U262)-25*SIN(-2*P262+S262)+21*SIN(-P262+S262)</f>
        <v>288.978297995942</v>
      </c>
      <c r="W262" s="36" t="n">
        <f aca="false">2*PI()*(N262+O262/1296000-INT(N262+O262/1296000))</f>
        <v>1.50086402833214</v>
      </c>
      <c r="X262" s="35" t="n">
        <f aca="false">W262*180/PI()</f>
        <v>85.993174446435</v>
      </c>
      <c r="Y262" s="36" t="n">
        <f aca="false">(18520*SIN(T262)+V262)/206264.8062</f>
        <v>0.0593459255017736</v>
      </c>
      <c r="Z262" s="36" t="n">
        <f aca="false">Y262*180/PI()</f>
        <v>3.40027106254943</v>
      </c>
      <c r="AA262" s="36" t="n">
        <f aca="false">COS(Y262)*COS(W262)</f>
        <v>0.0697522992630628</v>
      </c>
      <c r="AB262" s="36" t="n">
        <f aca="false">COS(Y262)*SIN(W262)</f>
        <v>0.995799583559465</v>
      </c>
      <c r="AC262" s="36" t="n">
        <f aca="false">SIN(Y262)</f>
        <v>0.0593110961820064</v>
      </c>
      <c r="AD262" s="36" t="n">
        <f aca="false">COS($A$10*(23.4393-46.815*L262/3600))*AB262-SIN($A$10*(23.4393-46.815*L262/3600))*AC262</f>
        <v>0.890058808699439</v>
      </c>
      <c r="AE262" s="36" t="n">
        <f aca="false">SIN($A$10*(23.4393-46.815*L262/3600))*AB262+COS($A$10*(23.4393-46.815*L262/3600))*AC262</f>
        <v>0.450477450938503</v>
      </c>
      <c r="AF262" s="36" t="n">
        <f aca="false">SQRT(1-AE262*AE262)</f>
        <v>0.892787805806032</v>
      </c>
      <c r="AG262" s="35" t="n">
        <f aca="false">ATAN(AE262/AF262)/$A$10</f>
        <v>26.7743208329512</v>
      </c>
      <c r="AH262" s="36" t="n">
        <f aca="false">IF(24*ATAN(AD262/(AA262+AF262))/PI()&gt;0,24*ATAN(AD262/(AA262+AF262))/PI(),24*ATAN(AD262/(AA262+AF262))/PI()+24)</f>
        <v>5.70126612514555</v>
      </c>
      <c r="AI262" s="63" t="n">
        <f aca="false">IF(M262-15*AH262&gt;0,M262-15*AH262,360+M262-15*AH262)</f>
        <v>286.379373562198</v>
      </c>
      <c r="AJ262" s="32" t="n">
        <f aca="false">0.950724+0.051818*COS(P262)+0.009531*COS(2*R262-P262)+0.007843*COS(2*R262)+0.002824*COS(2*P262)+0.000857*COS(2*R262+P262)+0.000533*COS(2*R262-Q262)*(1-0.002495*(J262-2415020)/36525)+0.000401*COS(2*R262-Q262-P262)*(1-0.002495*(J262-2415020)/36525)+0.00032*COS(P262-Q262)*(1-0.002495*(J262-2415020)/36525)-0.000271*COS(R262)</f>
        <v>0.907303571355049</v>
      </c>
      <c r="AK262" s="36" t="n">
        <f aca="false">ASIN(COS($A$10*$B$5)*COS($A$10*AG262)*COS($A$10*AI262)+SIN($A$10*$B$5)*SIN($A$10*AG262))/$A$10</f>
        <v>30.4586016421047</v>
      </c>
      <c r="AL262" s="32" t="n">
        <f aca="false">ASIN((0.9983271+0.0016764*COS($A$10*2*$B$5))*COS($A$10*AK262)*SIN($A$10*AJ262))/$A$10</f>
        <v>0.780547223149751</v>
      </c>
      <c r="AM262" s="32" t="n">
        <f aca="false">AK262-AL262</f>
        <v>29.6780544189549</v>
      </c>
      <c r="AN262" s="35" t="n">
        <f aca="false"> MOD(280.4664567 + 360007.6982779*L262/10 + 0.03032028*L262^2/100 + L262^3/49931000,360)</f>
        <v>176.904148081054</v>
      </c>
      <c r="AO262" s="32" t="n">
        <f aca="false"> AN262 + (1.9146 - 0.004817*L262 - 0.000014*L262^2)*SIN(Q262)+ (0.019993 - 0.000101*L262)*SIN(2*Q262)+ 0.00029*SIN(3*Q262)</f>
        <v>175.079754039365</v>
      </c>
      <c r="AP262" s="32" t="n">
        <f aca="false">ACOS(COS(W262-$A$10*AO262)*COS(Y262))/$A$10</f>
        <v>89.0881877622009</v>
      </c>
      <c r="AQ262" s="34" t="n">
        <f aca="false">180 - AP262 -0.1468*(1-0.0549*SIN(Q262))*SIN($A$10*AP262)/(1-0.0167*SIN($A$10*AO262))</f>
        <v>90.7570797532859</v>
      </c>
      <c r="AR262" s="64" t="n">
        <f aca="false">SIN($A$10*AI262)</f>
        <v>-0.959415555088016</v>
      </c>
      <c r="AS262" s="64" t="n">
        <f aca="false">COS($A$10*AI262)*SIN($A$10*$B$5) - TAN($A$10*AG262)*COS($A$10*$B$5)</f>
        <v>-0.108312334885715</v>
      </c>
      <c r="AT262" s="24" t="n">
        <f aca="false">IF(OR(AND(AR262*AS262&gt;0), AND(AR262&lt;0,AS262&gt;0)), MOD(ATAN2(AS262,AR262)/$A$10+360,360),  ATAN2(AS262,AR262)/$A$10)</f>
        <v>263.558917412697</v>
      </c>
      <c r="AU262" s="39" t="n">
        <f aca="false"> 385000.56 + (-20905355*COS(P262) - 3699111*COS(2*R262-P262) - 2955968*COS(2*R262) - 569925*COS(2*P262) + (1-0.002516*L262)*48888*COS(Q262) - 3149*COS(2*S262)  +246158*COS(2*R262-2*P262) -(1 - 0.002516*L262)*152138*COS(2*R262-Q262-P262) -170733*COS(2*R262+P262) -(1 - 0.002516*L262)*204586*COS(2*R262-Q262) -(1 - 0.002516*L262)*129620*COS(Q262-P262)  + 108743*COS(R262) +(1-0.002516*L262)*104755*COS(Q262+P262) +10321*COS(2*R262-2*S262) +79661*COS(P262-2*S262) -34782*COS(4*R262-P262) -23210*COS(3*P262)  -21636*COS(4*R262-2*P262) +(1 - 0.002516*L262)*24208*COS(2*R262+Q262-P262) +(1 - 0.002516*L262)*30824*COS(2*R262+Q262) -8379*COS(R262-P262) -(1 - 0.002516*L262)*16675*COS(R262+Q262)  -(1 - 0.002516*L262)*12831*COS(2*R262-Q262+P262) -10445*COS(2*R262+2*P262) -11650*COS(4*R262) +14403*COS(2*R262-3*P262) -(1-0.002516*L262)*7003*COS(Q262-2*P262)  + (1 - 0.002516*L262)*10056*COS(2*R262-Q262-2*P262) +6322*COS(R262+P262) -(1 - 0.002516*L262)*(1-0.002516*L262)*9884*COS(2*R262-2*Q262) +(1-0.002516*L262)*5751*COS(Q262+2*P262) - (1-0.002516*L262)^2*4950*COS(2*R262-2*Q262-P262)  +4130*COS(2*R262+P262-2*S262) -(1-0.002516*L262)*3958*COS(4*R262-Q262-P262) +3258*COS(3*R262-P262) +(1 - 0.002516*L262)*2616*COS(2*R262+Q262+P262) -(1 - 0.002516*L262)*1897*COS(4*R262-Q262-2*P262)  -(1-0.002516*L262)^2*2117*COS(2*Q262-P262) +(1-0.002516*L262)^2*2354*COS(2*R262+2*Q262-P262) -1423*COS(4*R262+P262) -1117*COS(4*P262) -(1-0.002516*L262)*1571*COS(4*R262-Q262)  -1739*COS(R262-2*P262) -4421*COS(2*P262-2*S262) +(1-0.002516*L262)^2*1165*COS(2*Q262+P262) +8752*COS(2*R262-P262-2*S262))/1000</f>
        <v>402900.41923763</v>
      </c>
      <c r="AV262" s="54" t="n">
        <f aca="false">ATAN(0.99664719*TAN($A$10*input!$E$2))</f>
        <v>0.871010436227447</v>
      </c>
      <c r="AW262" s="54" t="n">
        <f aca="false">COS(AV262)</f>
        <v>0.644053912545845</v>
      </c>
      <c r="AX262" s="54" t="n">
        <f aca="false">0.99664719*SIN(AV262)</f>
        <v>0.762415269897027</v>
      </c>
      <c r="AY262" s="54" t="n">
        <f aca="false">6378.14/AU262</f>
        <v>0.0158305618347798</v>
      </c>
      <c r="AZ262" s="55" t="n">
        <f aca="false">M262-15*AH262</f>
        <v>-73.6206264378018</v>
      </c>
      <c r="BA262" s="56" t="n">
        <f aca="false">COS($A$10*AG262)*SIN($A$10*AZ262)</f>
        <v>-0.856554508283207</v>
      </c>
      <c r="BB262" s="56" t="n">
        <f aca="false">COS($A$10*AG262)*COS($A$10*AZ262)-AW262*AY262</f>
        <v>0.241566931793362</v>
      </c>
      <c r="BC262" s="56" t="n">
        <f aca="false">SIN($A$10*AG262)-AX262*AY262</f>
        <v>0.438407988864618</v>
      </c>
      <c r="BD262" s="57" t="n">
        <f aca="false">SQRT(BA262^2+BB262^2+BC262^2)</f>
        <v>0.992089599228146</v>
      </c>
      <c r="BE262" s="58" t="n">
        <f aca="false">AU262*BD262</f>
        <v>399713.315450312</v>
      </c>
    </row>
    <row r="263" customFormat="false" ht="15" hidden="false" customHeight="false" outlineLevel="0" collapsed="false">
      <c r="D263" s="41" t="n">
        <f aca="false">K263-INT(275*E263/9)+IF($A$8="common year",2,1)*INT((E263+9)/12)+30</f>
        <v>19</v>
      </c>
      <c r="E263" s="41" t="n">
        <f aca="false">IF(K263&lt;32,1,INT(9*(IF($A$8="common year",2,1)+K263)/275+0.98))</f>
        <v>9</v>
      </c>
      <c r="F263" s="42" t="n">
        <f aca="false">AM263</f>
        <v>22.2354300776141</v>
      </c>
      <c r="G263" s="60" t="n">
        <f aca="false">F263+1.02/(TAN($A$10*(F263+10.3/(F263+5.11)))*60)</f>
        <v>22.2762456718436</v>
      </c>
      <c r="H263" s="43" t="n">
        <f aca="false">100*(1+COS($A$10*AQ263))/2</f>
        <v>39.918889695609</v>
      </c>
      <c r="I263" s="43" t="n">
        <f aca="false">IF(AI263&gt;180,AT263-180,AT263+180)</f>
        <v>74.4273433320383</v>
      </c>
      <c r="J263" s="61" t="n">
        <f aca="false">$J$2+K262</f>
        <v>2459841.5</v>
      </c>
      <c r="K263" s="21" t="n">
        <v>262</v>
      </c>
      <c r="L263" s="62" t="n">
        <f aca="false">(J263-2451545)/36525</f>
        <v>0.227145790554415</v>
      </c>
      <c r="M263" s="63" t="n">
        <f aca="false">MOD(280.46061837+360.98564736629*(J263-2451545)+0.000387933*L263^2-L263^3/38710000+$B$7,360)</f>
        <v>12.8840128099546</v>
      </c>
      <c r="N263" s="30" t="n">
        <f aca="false">0.606433+1336.855225*L263 - INT(0.606433+1336.855225*L263)</f>
        <v>0.267469939425041</v>
      </c>
      <c r="O263" s="35" t="n">
        <f aca="false">22640*SIN(P263)-4586*SIN(P263-2*R263)+2370*SIN(2*R263)+769*SIN(2*P263)-668*SIN(Q263)-412*SIN(2*S263)-212*SIN(2*P263-2*R263)-206*SIN(P263+Q263-2*R263)+192*SIN(P263+2*R263)-165*SIN(Q263-2*R263)-125*SIN(R263)-110*SIN(P263+Q263)+148*SIN(P263-Q263)-55*SIN(2*S263-2*R263)</f>
        <v>5691.30124735982</v>
      </c>
      <c r="P263" s="32" t="n">
        <f aca="false">2*PI()*(0.374897+1325.55241*L263 - INT(0.374897+1325.55241*L263))</f>
        <v>2.94396819638326</v>
      </c>
      <c r="Q263" s="36" t="n">
        <f aca="false">2*PI()*(0.993133+99.997361*L263 - INT(0.993133+99.997361*L263))</f>
        <v>4.44291961005522</v>
      </c>
      <c r="R263" s="36" t="n">
        <f aca="false">2*PI()*(0.827361+1236.853086*L263 - INT(0.827361+1236.853086*L263))</f>
        <v>4.85899466340199</v>
      </c>
      <c r="S263" s="36" t="n">
        <f aca="false">2*PI()*(0.259086+1342.227825*L263 - INT(0.259086+1342.227825*L263))</f>
        <v>0.882702170780639</v>
      </c>
      <c r="T263" s="36" t="n">
        <f aca="false">S263+(O263+412*SIN(2*S263)+541*SIN(Q263))/206264.8062</f>
        <v>0.909725916127457</v>
      </c>
      <c r="U263" s="36" t="n">
        <f aca="false">S263-2*R263</f>
        <v>-8.83528715602334</v>
      </c>
      <c r="V263" s="34" t="n">
        <f aca="false">-526*SIN(U263)+44*SIN(P263+U263)-31*SIN(-P263+U263)-23*SIN(Q263+U263)+11*SIN(-Q263+U263)-25*SIN(-2*P263+S263)+21*SIN(-P263+S263)</f>
        <v>215.791858643194</v>
      </c>
      <c r="W263" s="36" t="n">
        <f aca="false">2*PI()*(N263+O263/1296000-INT(N263+O263/1296000))</f>
        <v>1.70815540058799</v>
      </c>
      <c r="X263" s="35" t="n">
        <f aca="false">W263*180/PI()</f>
        <v>97.8700952061703</v>
      </c>
      <c r="Y263" s="36" t="n">
        <f aca="false">(18520*SIN(T263)+V263)/206264.8062</f>
        <v>0.0719186440379956</v>
      </c>
      <c r="Z263" s="36" t="n">
        <f aca="false">Y263*180/PI()</f>
        <v>4.12063477168085</v>
      </c>
      <c r="AA263" s="36" t="n">
        <f aca="false">COS(Y263)*COS(W263)</f>
        <v>-0.136573581718391</v>
      </c>
      <c r="AB263" s="36" t="n">
        <f aca="false">COS(Y263)*SIN(W263)</f>
        <v>0.988020382786397</v>
      </c>
      <c r="AC263" s="36" t="n">
        <f aca="false">SIN(Y263)</f>
        <v>0.0718566627059093</v>
      </c>
      <c r="AD263" s="36" t="n">
        <f aca="false">COS($A$10*(23.4393-46.815*L263/3600))*AB263-SIN($A$10*(23.4393-46.815*L263/3600))*AC263</f>
        <v>0.877931627148895</v>
      </c>
      <c r="AE263" s="36" t="n">
        <f aca="false">SIN($A$10*(23.4393-46.815*L263/3600))*AB263+COS($A$10*(23.4393-46.815*L263/3600))*AC263</f>
        <v>0.458894012630699</v>
      </c>
      <c r="AF263" s="36" t="n">
        <f aca="false">SQRT(1-AE263*AE263)</f>
        <v>0.888491015808092</v>
      </c>
      <c r="AG263" s="35" t="n">
        <f aca="false">ATAN(AE263/AF263)/$A$10</f>
        <v>27.3157631590301</v>
      </c>
      <c r="AH263" s="36" t="n">
        <f aca="false">IF(24*ATAN(AD263/(AA263+AF263))/PI()&gt;0,24*ATAN(AD263/(AA263+AF263))/PI(),24*ATAN(AD263/(AA263+AF263))/PI()+24)</f>
        <v>6.58948166005612</v>
      </c>
      <c r="AI263" s="63" t="n">
        <f aca="false">IF(M263-15*AH263&gt;0,M263-15*AH263,360+M263-15*AH263)</f>
        <v>274.041787909113</v>
      </c>
      <c r="AJ263" s="32" t="n">
        <f aca="false">0.950724+0.051818*COS(P263)+0.009531*COS(2*R263-P263)+0.007843*COS(2*R263)+0.002824*COS(2*P263)+0.000857*COS(2*R263+P263)+0.000533*COS(2*R263-Q263)*(1-0.002495*(J263-2415020)/36525)+0.000401*COS(2*R263-Q263-P263)*(1-0.002495*(J263-2415020)/36525)+0.00032*COS(P263-Q263)*(1-0.002495*(J263-2415020)/36525)-0.000271*COS(R263)</f>
        <v>0.904262727690021</v>
      </c>
      <c r="AK263" s="36" t="n">
        <f aca="false">ASIN(COS($A$10*$B$5)*COS($A$10*AG263)*COS($A$10*AI263)+SIN($A$10*$B$5)*SIN($A$10*AG263))/$A$10</f>
        <v>23.0657628195609</v>
      </c>
      <c r="AL263" s="32" t="n">
        <f aca="false">ASIN((0.9983271+0.0016764*COS($A$10*2*$B$5))*COS($A$10*AK263)*SIN($A$10*AJ263))/$A$10</f>
        <v>0.830332741946788</v>
      </c>
      <c r="AM263" s="32" t="n">
        <f aca="false">AK263-AL263</f>
        <v>22.2354300776141</v>
      </c>
      <c r="AN263" s="35" t="n">
        <f aca="false"> MOD(280.4664567 + 360007.6982779*L263/10 + 0.03032028*L263^2/100 + L263^3/49931000,360)</f>
        <v>177.889795444929</v>
      </c>
      <c r="AO263" s="32" t="n">
        <f aca="false"> AN263 + (1.9146 - 0.004817*L263 - 0.000014*L263^2)*SIN(Q263)+ (0.019993 - 0.000101*L263)*SIN(2*Q263)+ 0.00029*SIN(3*Q263)</f>
        <v>176.055793765044</v>
      </c>
      <c r="AP263" s="32" t="n">
        <f aca="false">ACOS(COS(W263-$A$10*AO263)*COS(Y263))/$A$10</f>
        <v>78.2166774724327</v>
      </c>
      <c r="AQ263" s="34" t="n">
        <f aca="false">180 - AP263 -0.1468*(1-0.0549*SIN(Q263))*SIN($A$10*AP263)/(1-0.0167*SIN($A$10*AO263))</f>
        <v>101.631837278719</v>
      </c>
      <c r="AR263" s="64" t="n">
        <f aca="false">SIN($A$10*AI263)</f>
        <v>-0.997512908996791</v>
      </c>
      <c r="AS263" s="64" t="n">
        <f aca="false">COS($A$10*AI263)*SIN($A$10*$B$5) - TAN($A$10*AG263)*COS($A$10*$B$5)</f>
        <v>-0.277997522317216</v>
      </c>
      <c r="AT263" s="24" t="n">
        <f aca="false">IF(OR(AND(AR263*AS263&gt;0), AND(AR263&lt;0,AS263&gt;0)), MOD(ATAN2(AS263,AR263)/$A$10+360,360),  ATAN2(AS263,AR263)/$A$10)</f>
        <v>254.427343332038</v>
      </c>
      <c r="AU263" s="39" t="n">
        <f aca="false"> 385000.56 + (-20905355*COS(P263) - 3699111*COS(2*R263-P263) - 2955968*COS(2*R263) - 569925*COS(2*P263) + (1-0.002516*L263)*48888*COS(Q263) - 3149*COS(2*S263)  +246158*COS(2*R263-2*P263) -(1 - 0.002516*L263)*152138*COS(2*R263-Q263-P263) -170733*COS(2*R263+P263) -(1 - 0.002516*L263)*204586*COS(2*R263-Q263) -(1 - 0.002516*L263)*129620*COS(Q263-P263)  + 108743*COS(R263) +(1-0.002516*L263)*104755*COS(Q263+P263) +10321*COS(2*R263-2*S263) +79661*COS(P263-2*S263) -34782*COS(4*R263-P263) -23210*COS(3*P263)  -21636*COS(4*R263-2*P263) +(1 - 0.002516*L263)*24208*COS(2*R263+Q263-P263) +(1 - 0.002516*L263)*30824*COS(2*R263+Q263) -8379*COS(R263-P263) -(1 - 0.002516*L263)*16675*COS(R263+Q263)  -(1 - 0.002516*L263)*12831*COS(2*R263-Q263+P263) -10445*COS(2*R263+2*P263) -11650*COS(4*R263) +14403*COS(2*R263-3*P263) -(1-0.002516*L263)*7003*COS(Q263-2*P263)  + (1 - 0.002516*L263)*10056*COS(2*R263-Q263-2*P263) +6322*COS(R263+P263) -(1 - 0.002516*L263)*(1-0.002516*L263)*9884*COS(2*R263-2*Q263) +(1-0.002516*L263)*5751*COS(Q263+2*P263) - (1-0.002516*L263)^2*4950*COS(2*R263-2*Q263-P263)  +4130*COS(2*R263+P263-2*S263) -(1-0.002516*L263)*3958*COS(4*R263-Q263-P263) +3258*COS(3*R263-P263) +(1 - 0.002516*L263)*2616*COS(2*R263+Q263+P263) -(1 - 0.002516*L263)*1897*COS(4*R263-Q263-2*P263)  -(1-0.002516*L263)^2*2117*COS(2*Q263-P263) +(1-0.002516*L263)^2*2354*COS(2*R263+2*Q263-P263) -1423*COS(4*R263+P263) -1117*COS(4*P263) -(1-0.002516*L263)*1571*COS(4*R263-Q263)  -1739*COS(R263-2*P263) -4421*COS(2*P263-2*S263) +(1-0.002516*L263)^2*1165*COS(2*Q263+P263) +8752*COS(2*R263-P263-2*S263))/1000</f>
        <v>404318.866143271</v>
      </c>
      <c r="AV263" s="54" t="n">
        <f aca="false">ATAN(0.99664719*TAN($A$10*input!$E$2))</f>
        <v>0.871010436227447</v>
      </c>
      <c r="AW263" s="54" t="n">
        <f aca="false">COS(AV263)</f>
        <v>0.644053912545845</v>
      </c>
      <c r="AX263" s="54" t="n">
        <f aca="false">0.99664719*SIN(AV263)</f>
        <v>0.762415269897027</v>
      </c>
      <c r="AY263" s="54" t="n">
        <f aca="false">6378.14/AU263</f>
        <v>0.0157750244524575</v>
      </c>
      <c r="AZ263" s="55" t="n">
        <f aca="false">M263-15*AH263</f>
        <v>-85.9582120908873</v>
      </c>
      <c r="BA263" s="56" t="n">
        <f aca="false">COS($A$10*AG263)*SIN($A$10*AZ263)</f>
        <v>-0.886281257796244</v>
      </c>
      <c r="BB263" s="56" t="n">
        <f aca="false">COS($A$10*AG263)*COS($A$10*AZ263)-AW263*AY263</f>
        <v>0.0524644479562212</v>
      </c>
      <c r="BC263" s="56" t="n">
        <f aca="false">SIN($A$10*AG263)-AX263*AY263</f>
        <v>0.446866893105147</v>
      </c>
      <c r="BD263" s="57" t="n">
        <f aca="false">SQRT(BA263^2+BB263^2+BC263^2)</f>
        <v>0.993950203165978</v>
      </c>
      <c r="BE263" s="58" t="n">
        <f aca="false">AU263*BD263</f>
        <v>401872.819146943</v>
      </c>
    </row>
    <row r="264" customFormat="false" ht="15" hidden="false" customHeight="false" outlineLevel="0" collapsed="false">
      <c r="D264" s="41" t="n">
        <f aca="false">K264-INT(275*E264/9)+IF($A$8="common year",2,1)*INT((E264+9)/12)+30</f>
        <v>20</v>
      </c>
      <c r="E264" s="41" t="n">
        <f aca="false">IF(K264&lt;32,1,INT(9*(IF($A$8="common year",2,1)+K264)/275+0.98))</f>
        <v>9</v>
      </c>
      <c r="F264" s="42" t="n">
        <f aca="false">AM264</f>
        <v>14.2314129372723</v>
      </c>
      <c r="G264" s="60" t="n">
        <f aca="false">F264+1.02/(TAN($A$10*(F264+10.3/(F264+5.11)))*60)</f>
        <v>14.2959196714706</v>
      </c>
      <c r="H264" s="43" t="n">
        <f aca="false">100*(1+COS($A$10*AQ264))/2</f>
        <v>30.8784988606341</v>
      </c>
      <c r="I264" s="43" t="n">
        <f aca="false">IF(AI264&gt;180,AT264-180,AT264+180)</f>
        <v>66.433487268411</v>
      </c>
      <c r="J264" s="61" t="n">
        <f aca="false">$J$2+K263</f>
        <v>2459842.5</v>
      </c>
      <c r="K264" s="21" t="n">
        <v>263</v>
      </c>
      <c r="L264" s="62" t="n">
        <f aca="false">(J264-2451545)/36525</f>
        <v>0.227173169062286</v>
      </c>
      <c r="M264" s="63" t="n">
        <f aca="false">MOD(280.46061837+360.98564736629*(J264-2451545)+0.000387933*L264^2-L264^3/38710000+$B$7,360)</f>
        <v>13.8696601809934</v>
      </c>
      <c r="N264" s="30" t="n">
        <f aca="false">0.606433+1336.855225*L264 - INT(0.606433+1336.855225*L264)</f>
        <v>0.304071040725489</v>
      </c>
      <c r="O264" s="35" t="n">
        <f aca="false">22640*SIN(P264)-4586*SIN(P264-2*R264)+2370*SIN(2*R264)+769*SIN(2*P264)-668*SIN(Q264)-412*SIN(2*S264)-212*SIN(2*P264-2*R264)-206*SIN(P264+Q264-2*R264)+192*SIN(P264+2*R264)-165*SIN(Q264-2*R264)-125*SIN(R264)-110*SIN(P264+Q264)+148*SIN(P264-Q264)-55*SIN(2*S264-2*R264)</f>
        <v>983.642380295645</v>
      </c>
      <c r="P264" s="32" t="n">
        <f aca="false">2*PI()*(0.374897+1325.55241*L264 - INT(0.374897+1325.55241*L264))</f>
        <v>3.17199534015908</v>
      </c>
      <c r="Q264" s="36" t="n">
        <f aca="false">2*PI()*(0.993133+99.997361*L264 - INT(0.993133+99.997361*L264))</f>
        <v>4.4601215799222</v>
      </c>
      <c r="R264" s="36" t="n">
        <f aca="false">2*PI()*(0.827361+1236.853086*L264 - INT(0.827361+1236.853086*L264))</f>
        <v>5.07176337352102</v>
      </c>
      <c r="S264" s="36" t="n">
        <f aca="false">2*PI()*(0.259086+1342.227825*L264 - INT(0.259086+1342.227825*L264))</f>
        <v>1.11359789012164</v>
      </c>
      <c r="T264" s="36" t="n">
        <f aca="false">S264+(O264+412*SIN(2*S264)+541*SIN(Q264))/206264.8062</f>
        <v>1.11740925185568</v>
      </c>
      <c r="U264" s="36" t="n">
        <f aca="false">S264-2*R264</f>
        <v>-9.02992885692039</v>
      </c>
      <c r="V264" s="34" t="n">
        <f aca="false">-526*SIN(U264)+44*SIN(P264+U264)-31*SIN(-P264+U264)-23*SIN(Q264+U264)+11*SIN(-Q264+U264)-25*SIN(-2*P264+S264)+21*SIN(-P264+S264)</f>
        <v>137.623091578807</v>
      </c>
      <c r="W264" s="36" t="n">
        <f aca="false">2*PI()*(N264+O264/1296000-INT(N264+O264/1296000))</f>
        <v>1.91530352825806</v>
      </c>
      <c r="X264" s="35" t="n">
        <f aca="false">W264*180/PI()</f>
        <v>109.738808655703</v>
      </c>
      <c r="Y264" s="36" t="n">
        <f aca="false">(18520*SIN(T264)+V264)/206264.8062</f>
        <v>0.0813833602546662</v>
      </c>
      <c r="Z264" s="36" t="n">
        <f aca="false">Y264*180/PI()</f>
        <v>4.6629230651851</v>
      </c>
      <c r="AA264" s="36" t="n">
        <f aca="false">COS(Y264)*COS(W264)</f>
        <v>-0.336615047912266</v>
      </c>
      <c r="AB264" s="36" t="n">
        <f aca="false">COS(Y264)*SIN(W264)</f>
        <v>0.938126680023393</v>
      </c>
      <c r="AC264" s="36" t="n">
        <f aca="false">SIN(Y264)</f>
        <v>0.0812935529258598</v>
      </c>
      <c r="AD264" s="36" t="n">
        <f aca="false">COS($A$10*(23.4393-46.815*L264/3600))*AB264-SIN($A$10*(23.4393-46.815*L264/3600))*AC264</f>
        <v>0.828400698274737</v>
      </c>
      <c r="AE264" s="36" t="n">
        <f aca="false">SIN($A$10*(23.4393-46.815*L264/3600))*AB264+COS($A$10*(23.4393-46.815*L264/3600))*AC264</f>
        <v>0.447708155629257</v>
      </c>
      <c r="AF264" s="36" t="n">
        <f aca="false">SQRT(1-AE264*AE264)</f>
        <v>0.894179739975721</v>
      </c>
      <c r="AG264" s="35" t="n">
        <f aca="false">ATAN(AE264/AF264)/$A$10</f>
        <v>26.5967364030619</v>
      </c>
      <c r="AH264" s="36" t="n">
        <f aca="false">IF(24*ATAN(AD264/(AA264+AF264))/PI()&gt;0,24*ATAN(AD264/(AA264+AF264))/PI(),24*ATAN(AD264/(AA264+AF264))/PI()+24)</f>
        <v>7.4742690069689</v>
      </c>
      <c r="AI264" s="63" t="n">
        <f aca="false">IF(M264-15*AH264&gt;0,M264-15*AH264,360+M264-15*AH264)</f>
        <v>261.75562507646</v>
      </c>
      <c r="AJ264" s="32" t="n">
        <f aca="false">0.950724+0.051818*COS(P264)+0.009531*COS(2*R264-P264)+0.007843*COS(2*R264)+0.002824*COS(2*P264)+0.000857*COS(2*R264+P264)+0.000533*COS(2*R264-Q264)*(1-0.002495*(J264-2415020)/36525)+0.000401*COS(2*R264-Q264-P264)*(1-0.002495*(J264-2415020)/36525)+0.00032*COS(P264-Q264)*(1-0.002495*(J264-2415020)/36525)-0.000271*COS(R264)</f>
        <v>0.903943484303194</v>
      </c>
      <c r="AK264" s="36" t="n">
        <f aca="false">ASIN(COS($A$10*$B$5)*COS($A$10*AG264)*COS($A$10*AI264)+SIN($A$10*$B$5)*SIN($A$10*AG264))/$A$10</f>
        <v>15.1024190721658</v>
      </c>
      <c r="AL264" s="32" t="n">
        <f aca="false">ASIN((0.9983271+0.0016764*COS($A$10*2*$B$5))*COS($A$10*AK264)*SIN($A$10*AJ264))/$A$10</f>
        <v>0.871006134893464</v>
      </c>
      <c r="AM264" s="32" t="n">
        <f aca="false">AK264-AL264</f>
        <v>14.2314129372723</v>
      </c>
      <c r="AN264" s="35" t="n">
        <f aca="false"> MOD(280.4664567 + 360007.6982779*L264/10 + 0.03032028*L264^2/100 + L264^3/49931000,360)</f>
        <v>178.875442808803</v>
      </c>
      <c r="AO264" s="32" t="n">
        <f aca="false"> AN264 + (1.9146 - 0.004817*L264 - 0.000014*L264^2)*SIN(Q264)+ (0.019993 - 0.000101*L264)*SIN(2*Q264)+ 0.00029*SIN(3*Q264)</f>
        <v>177.032366602755</v>
      </c>
      <c r="AP264" s="32" t="n">
        <f aca="false">ACOS(COS(W264-$A$10*AO264)*COS(Y264))/$A$10</f>
        <v>67.3728871191075</v>
      </c>
      <c r="AQ264" s="34" t="n">
        <f aca="false">180 - AP264 -0.1468*(1-0.0549*SIN(Q264))*SIN($A$10*AP264)/(1-0.0167*SIN($A$10*AO264))</f>
        <v>112.484285316147</v>
      </c>
      <c r="AR264" s="64" t="n">
        <f aca="false">SIN($A$10*AI264)</f>
        <v>-0.989665469596956</v>
      </c>
      <c r="AS264" s="64" t="n">
        <f aca="false">COS($A$10*AI264)*SIN($A$10*$B$5) - TAN($A$10*AG264)*COS($A$10*$B$5)</f>
        <v>-0.431685560180065</v>
      </c>
      <c r="AT264" s="24" t="n">
        <f aca="false">IF(OR(AND(AR264*AS264&gt;0), AND(AR264&lt;0,AS264&gt;0)), MOD(ATAN2(AS264,AR264)/$A$10+360,360),  ATAN2(AS264,AR264)/$A$10)</f>
        <v>246.433487268411</v>
      </c>
      <c r="AU264" s="39" t="n">
        <f aca="false"> 385000.56 + (-20905355*COS(P264) - 3699111*COS(2*R264-P264) - 2955968*COS(2*R264) - 569925*COS(2*P264) + (1-0.002516*L264)*48888*COS(Q264) - 3149*COS(2*S264)  +246158*COS(2*R264-2*P264) -(1 - 0.002516*L264)*152138*COS(2*R264-Q264-P264) -170733*COS(2*R264+P264) -(1 - 0.002516*L264)*204586*COS(2*R264-Q264) -(1 - 0.002516*L264)*129620*COS(Q264-P264)  + 108743*COS(R264) +(1-0.002516*L264)*104755*COS(Q264+P264) +10321*COS(2*R264-2*S264) +79661*COS(P264-2*S264) -34782*COS(4*R264-P264) -23210*COS(3*P264)  -21636*COS(4*R264-2*P264) +(1 - 0.002516*L264)*24208*COS(2*R264+Q264-P264) +(1 - 0.002516*L264)*30824*COS(2*R264+Q264) -8379*COS(R264-P264) -(1 - 0.002516*L264)*16675*COS(R264+Q264)  -(1 - 0.002516*L264)*12831*COS(2*R264-Q264+P264) -10445*COS(2*R264+2*P264) -11650*COS(4*R264) +14403*COS(2*R264-3*P264) -(1-0.002516*L264)*7003*COS(Q264-2*P264)  + (1 - 0.002516*L264)*10056*COS(2*R264-Q264-2*P264) +6322*COS(R264+P264) -(1 - 0.002516*L264)*(1-0.002516*L264)*9884*COS(2*R264-2*Q264) +(1-0.002516*L264)*5751*COS(Q264+2*P264) - (1-0.002516*L264)^2*4950*COS(2*R264-2*Q264-P264)  +4130*COS(2*R264+P264-2*S264) -(1-0.002516*L264)*3958*COS(4*R264-Q264-P264) +3258*COS(3*R264-P264) +(1 - 0.002516*L264)*2616*COS(2*R264+Q264+P264) -(1 - 0.002516*L264)*1897*COS(4*R264-Q264-2*P264)  -(1-0.002516*L264)^2*2117*COS(2*Q264-P264) +(1-0.002516*L264)^2*2354*COS(2*R264+2*Q264-P264) -1423*COS(4*R264+P264) -1117*COS(4*P264) -(1-0.002516*L264)*1571*COS(4*R264-Q264)  -1739*COS(R264-2*P264) -4421*COS(2*P264-2*S264) +(1-0.002516*L264)^2*1165*COS(2*Q264+P264) +8752*COS(2*R264-P264-2*S264))/1000</f>
        <v>404466.292927351</v>
      </c>
      <c r="AV264" s="54" t="n">
        <f aca="false">ATAN(0.99664719*TAN($A$10*input!$E$2))</f>
        <v>0.871010436227447</v>
      </c>
      <c r="AW264" s="54" t="n">
        <f aca="false">COS(AV264)</f>
        <v>0.644053912545845</v>
      </c>
      <c r="AX264" s="54" t="n">
        <f aca="false">0.99664719*SIN(AV264)</f>
        <v>0.762415269897027</v>
      </c>
      <c r="AY264" s="54" t="n">
        <f aca="false">6378.14/AU264</f>
        <v>0.015769274502055</v>
      </c>
      <c r="AZ264" s="55" t="n">
        <f aca="false">M264-15*AH264</f>
        <v>-98.2443749235402</v>
      </c>
      <c r="BA264" s="56" t="n">
        <f aca="false">COS($A$10*AG264)*SIN($A$10*AZ264)</f>
        <v>-0.884938812267156</v>
      </c>
      <c r="BB264" s="56" t="n">
        <f aca="false">COS($A$10*AG264)*COS($A$10*AZ264)-AW264*AY264</f>
        <v>-0.138377579133975</v>
      </c>
      <c r="BC264" s="56" t="n">
        <f aca="false">SIN($A$10*AG264)-AX264*AY264</f>
        <v>0.435685419953693</v>
      </c>
      <c r="BD264" s="57" t="n">
        <f aca="false">SQRT(BA264^2+BB264^2+BC264^2)</f>
        <v>0.996035562128185</v>
      </c>
      <c r="BE264" s="58" t="n">
        <f aca="false">AU264*BD264</f>
        <v>402862.811437797</v>
      </c>
    </row>
    <row r="265" customFormat="false" ht="15" hidden="false" customHeight="false" outlineLevel="0" collapsed="false">
      <c r="D265" s="41" t="n">
        <f aca="false">K265-INT(275*E265/9)+IF($A$8="common year",2,1)*INT((E265+9)/12)+30</f>
        <v>21</v>
      </c>
      <c r="E265" s="41" t="n">
        <f aca="false">IF(K265&lt;32,1,INT(9*(IF($A$8="common year",2,1)+K265)/275+0.98))</f>
        <v>9</v>
      </c>
      <c r="F265" s="42" t="n">
        <f aca="false">AM265</f>
        <v>5.83096227117175</v>
      </c>
      <c r="G265" s="60" t="n">
        <f aca="false">F265+1.02/(TAN($A$10*(F265+10.3/(F265+5.11)))*60)</f>
        <v>5.97411550203413</v>
      </c>
      <c r="H265" s="43" t="n">
        <f aca="false">100*(1+COS($A$10*AQ265))/2</f>
        <v>22.4862297868028</v>
      </c>
      <c r="I265" s="43" t="n">
        <f aca="false">IF(AI265&gt;180,AT265-180,AT265+180)</f>
        <v>59.1319975399706</v>
      </c>
      <c r="J265" s="61" t="n">
        <f aca="false">$J$2+K264</f>
        <v>2459843.5</v>
      </c>
      <c r="K265" s="21" t="n">
        <v>264</v>
      </c>
      <c r="L265" s="62" t="n">
        <f aca="false">(J265-2451545)/36525</f>
        <v>0.227200547570157</v>
      </c>
      <c r="M265" s="63" t="n">
        <f aca="false">MOD(280.46061837+360.98564736629*(J265-2451545)+0.000387933*L265^2-L265^3/38710000+$B$7,360)</f>
        <v>14.8553075524978</v>
      </c>
      <c r="N265" s="30" t="n">
        <f aca="false">0.606433+1336.855225*L265 - INT(0.606433+1336.855225*L265)</f>
        <v>0.340672142025994</v>
      </c>
      <c r="O265" s="35" t="n">
        <f aca="false">22640*SIN(P265)-4586*SIN(P265-2*R265)+2370*SIN(2*R265)+769*SIN(2*P265)-668*SIN(Q265)-412*SIN(2*S265)-212*SIN(2*P265-2*R265)-206*SIN(P265+Q265-2*R265)+192*SIN(P265+2*R265)-165*SIN(Q265-2*R265)-125*SIN(R265)-110*SIN(P265+Q265)+148*SIN(P265-Q265)-55*SIN(2*S265-2*R265)</f>
        <v>-3499.72168405136</v>
      </c>
      <c r="P265" s="32" t="n">
        <f aca="false">2*PI()*(0.374897+1325.55241*L265 - INT(0.374897+1325.55241*L265))</f>
        <v>3.4000224839349</v>
      </c>
      <c r="Q265" s="36" t="n">
        <f aca="false">2*PI()*(0.993133+99.997361*L265 - INT(0.993133+99.997361*L265))</f>
        <v>4.47732354978921</v>
      </c>
      <c r="R265" s="36" t="n">
        <f aca="false">2*PI()*(0.827361+1236.853086*L265 - INT(0.827361+1236.853086*L265))</f>
        <v>5.28453208364004</v>
      </c>
      <c r="S265" s="36" t="n">
        <f aca="false">2*PI()*(0.259086+1342.227825*L265 - INT(0.259086+1342.227825*L265))</f>
        <v>1.34449360946265</v>
      </c>
      <c r="T265" s="36" t="n">
        <f aca="false">S265+(O265+412*SIN(2*S265)+541*SIN(Q265))/206264.8062</f>
        <v>1.32584926579371</v>
      </c>
      <c r="U265" s="36" t="n">
        <f aca="false">S265-2*R265</f>
        <v>-9.22457055781743</v>
      </c>
      <c r="V265" s="34" t="n">
        <f aca="false">-526*SIN(U265)+44*SIN(P265+U265)-31*SIN(-P265+U265)-23*SIN(Q265+U265)+11*SIN(-Q265+U265)-25*SIN(-2*P265+S265)+21*SIN(-P265+S265)</f>
        <v>55.9413925327922</v>
      </c>
      <c r="W265" s="36" t="n">
        <f aca="false">2*PI()*(N265+O265/1296000-INT(N265+O265/1296000))</f>
        <v>2.12353906781809</v>
      </c>
      <c r="X265" s="35" t="n">
        <f aca="false">W265*180/PI()</f>
        <v>121.669826217121</v>
      </c>
      <c r="Y265" s="36" t="n">
        <f aca="false">(18520*SIN(T265)+V265)/206264.8062</f>
        <v>0.0873785633499383</v>
      </c>
      <c r="Z265" s="36" t="n">
        <f aca="false">Y265*180/PI()</f>
        <v>5.00642289986796</v>
      </c>
      <c r="AA265" s="36" t="n">
        <f aca="false">COS(Y265)*COS(W265)</f>
        <v>-0.523020508125921</v>
      </c>
      <c r="AB265" s="36" t="n">
        <f aca="false">COS(Y265)*SIN(W265)</f>
        <v>0.847840755165329</v>
      </c>
      <c r="AC265" s="36" t="n">
        <f aca="false">SIN(Y265)</f>
        <v>0.0872674163728227</v>
      </c>
      <c r="AD265" s="36" t="n">
        <f aca="false">COS($A$10*(23.4393-46.815*L265/3600))*AB265-SIN($A$10*(23.4393-46.815*L265/3600))*AC265</f>
        <v>0.743187153647244</v>
      </c>
      <c r="AE265" s="36" t="n">
        <f aca="false">SIN($A$10*(23.4393-46.815*L265/3600))*AB265+COS($A$10*(23.4393-46.815*L265/3600))*AC265</f>
        <v>0.417279765545145</v>
      </c>
      <c r="AF265" s="36" t="n">
        <f aca="false">SQRT(1-AE265*AE265)</f>
        <v>0.908778079217687</v>
      </c>
      <c r="AG265" s="35" t="n">
        <f aca="false">ATAN(AE265/AF265)/$A$10</f>
        <v>24.6629664473149</v>
      </c>
      <c r="AH265" s="36" t="n">
        <f aca="false">IF(24*ATAN(AD265/(AA265+AF265))/PI()&gt;0,24*ATAN(AD265/(AA265+AF265))/PI(),24*ATAN(AD265/(AA265+AF265))/PI()+24)</f>
        <v>8.34240656640456</v>
      </c>
      <c r="AI265" s="63" t="n">
        <f aca="false">IF(M265-15*AH265&gt;0,M265-15*AH265,360+M265-15*AH265)</f>
        <v>249.719209056429</v>
      </c>
      <c r="AJ265" s="32" t="n">
        <f aca="false">0.950724+0.051818*COS(P265)+0.009531*COS(2*R265-P265)+0.007843*COS(2*R265)+0.002824*COS(2*P265)+0.000857*COS(2*R265+P265)+0.000533*COS(2*R265-Q265)*(1-0.002495*(J265-2415020)/36525)+0.000401*COS(2*R265-Q265-P265)*(1-0.002495*(J265-2415020)/36525)+0.00032*COS(P265-Q265)*(1-0.002495*(J265-2415020)/36525)-0.000271*COS(R265)</f>
        <v>0.906176234889302</v>
      </c>
      <c r="AK265" s="36" t="n">
        <f aca="false">ASIN(COS($A$10*$B$5)*COS($A$10*AG265)*COS($A$10*AI265)+SIN($A$10*$B$5)*SIN($A$10*AG265))/$A$10</f>
        <v>6.72912791433328</v>
      </c>
      <c r="AL265" s="32" t="n">
        <f aca="false">ASIN((0.9983271+0.0016764*COS($A$10*2*$B$5))*COS($A$10*AK265)*SIN($A$10*AJ265))/$A$10</f>
        <v>0.898165643161534</v>
      </c>
      <c r="AM265" s="32" t="n">
        <f aca="false">AK265-AL265</f>
        <v>5.83096227117175</v>
      </c>
      <c r="AN265" s="35" t="n">
        <f aca="false"> MOD(280.4664567 + 360007.6982779*L265/10 + 0.03032028*L265^2/100 + L265^3/49931000,360)</f>
        <v>179.861090172681</v>
      </c>
      <c r="AO265" s="32" t="n">
        <f aca="false"> AN265 + (1.9146 - 0.004817*L265 - 0.000014*L265^2)*SIN(Q265)+ (0.019993 - 0.000101*L265)*SIN(2*Q265)+ 0.00029*SIN(3*Q265)</f>
        <v>178.009475741288</v>
      </c>
      <c r="AP265" s="32" t="n">
        <f aca="false">ACOS(COS(W265-$A$10*AO265)*COS(Y265))/$A$10</f>
        <v>56.4850883147531</v>
      </c>
      <c r="AQ265" s="34" t="n">
        <f aca="false">180 - AP265 -0.1468*(1-0.0549*SIN(Q265))*SIN($A$10*AP265)/(1-0.0167*SIN($A$10*AO265))</f>
        <v>123.385908903026</v>
      </c>
      <c r="AR265" s="64" t="n">
        <f aca="false">SIN($A$10*AI265)</f>
        <v>-0.938005195991236</v>
      </c>
      <c r="AS265" s="64" t="n">
        <f aca="false">COS($A$10*AI265)*SIN($A$10*$B$5) - TAN($A$10*AG265)*COS($A$10*$B$5)</f>
        <v>-0.560673292635994</v>
      </c>
      <c r="AT265" s="24" t="n">
        <f aca="false">IF(OR(AND(AR265*AS265&gt;0), AND(AR265&lt;0,AS265&gt;0)), MOD(ATAN2(AS265,AR265)/$A$10+360,360),  ATAN2(AS265,AR265)/$A$10)</f>
        <v>239.131997539971</v>
      </c>
      <c r="AU265" s="39" t="n">
        <f aca="false"> 385000.56 + (-20905355*COS(P265) - 3699111*COS(2*R265-P265) - 2955968*COS(2*R265) - 569925*COS(2*P265) + (1-0.002516*L265)*48888*COS(Q265) - 3149*COS(2*S265)  +246158*COS(2*R265-2*P265) -(1 - 0.002516*L265)*152138*COS(2*R265-Q265-P265) -170733*COS(2*R265+P265) -(1 - 0.002516*L265)*204586*COS(2*R265-Q265) -(1 - 0.002516*L265)*129620*COS(Q265-P265)  + 108743*COS(R265) +(1-0.002516*L265)*104755*COS(Q265+P265) +10321*COS(2*R265-2*S265) +79661*COS(P265-2*S265) -34782*COS(4*R265-P265) -23210*COS(3*P265)  -21636*COS(4*R265-2*P265) +(1 - 0.002516*L265)*24208*COS(2*R265+Q265-P265) +(1 - 0.002516*L265)*30824*COS(2*R265+Q265) -8379*COS(R265-P265) -(1 - 0.002516*L265)*16675*COS(R265+Q265)  -(1 - 0.002516*L265)*12831*COS(2*R265-Q265+P265) -10445*COS(2*R265+2*P265) -11650*COS(4*R265) +14403*COS(2*R265-3*P265) -(1-0.002516*L265)*7003*COS(Q265-2*P265)  + (1 - 0.002516*L265)*10056*COS(2*R265-Q265-2*P265) +6322*COS(R265+P265) -(1 - 0.002516*L265)*(1-0.002516*L265)*9884*COS(2*R265-2*Q265) +(1-0.002516*L265)*5751*COS(Q265+2*P265) - (1-0.002516*L265)^2*4950*COS(2*R265-2*Q265-P265)  +4130*COS(2*R265+P265-2*S265) -(1-0.002516*L265)*3958*COS(4*R265-Q265-P265) +3258*COS(3*R265-P265) +(1 - 0.002516*L265)*2616*COS(2*R265+Q265+P265) -(1 - 0.002516*L265)*1897*COS(4*R265-Q265-2*P265)  -(1-0.002516*L265)^2*2117*COS(2*Q265-P265) +(1-0.002516*L265)^2*2354*COS(2*R265+2*Q265-P265) -1423*COS(4*R265+P265) -1117*COS(4*P265) -(1-0.002516*L265)*1571*COS(4*R265-Q265)  -1739*COS(R265-2*P265) -4421*COS(2*P265-2*S265) +(1-0.002516*L265)^2*1165*COS(2*Q265+P265) +8752*COS(2*R265-P265-2*S265))/1000</f>
        <v>403414.247443358</v>
      </c>
      <c r="AV265" s="54" t="n">
        <f aca="false">ATAN(0.99664719*TAN($A$10*input!$E$2))</f>
        <v>0.871010436227447</v>
      </c>
      <c r="AW265" s="54" t="n">
        <f aca="false">COS(AV265)</f>
        <v>0.644053912545845</v>
      </c>
      <c r="AX265" s="54" t="n">
        <f aca="false">0.99664719*SIN(AV265)</f>
        <v>0.762415269897027</v>
      </c>
      <c r="AY265" s="54" t="n">
        <f aca="false">6378.14/AU265</f>
        <v>0.0158103984686251</v>
      </c>
      <c r="AZ265" s="55" t="n">
        <f aca="false">M265-15*AH265</f>
        <v>-110.280790943571</v>
      </c>
      <c r="BA265" s="56" t="n">
        <f aca="false">COS($A$10*AG265)*SIN($A$10*AZ265)</f>
        <v>-0.852438560309126</v>
      </c>
      <c r="BB265" s="56" t="n">
        <f aca="false">COS($A$10*AG265)*COS($A$10*AZ265)-AW265*AY265</f>
        <v>-0.325184492106366</v>
      </c>
      <c r="BC265" s="56" t="n">
        <f aca="false">SIN($A$10*AG265)-AX265*AY265</f>
        <v>0.405225676329509</v>
      </c>
      <c r="BD265" s="57" t="n">
        <f aca="false">SQRT(BA265^2+BB265^2+BC265^2)</f>
        <v>0.998300707084332</v>
      </c>
      <c r="BE265" s="58" t="n">
        <f aca="false">AU265*BD265</f>
        <v>402728.728470598</v>
      </c>
    </row>
    <row r="266" customFormat="false" ht="15" hidden="false" customHeight="false" outlineLevel="0" collapsed="false">
      <c r="D266" s="41" t="n">
        <f aca="false">K266-INT(275*E266/9)+IF($A$8="common year",2,1)*INT((E266+9)/12)+30</f>
        <v>22</v>
      </c>
      <c r="E266" s="41" t="n">
        <f aca="false">IF(K266&lt;32,1,INT(9*(IF($A$8="common year",2,1)+K266)/275+0.98))</f>
        <v>9</v>
      </c>
      <c r="F266" s="42" t="n">
        <f aca="false">AM266</f>
        <v>-2.84868564201796</v>
      </c>
      <c r="G266" s="60" t="n">
        <f aca="false">F266+1.02/(TAN($A$10*(F266+10.3/(F266+5.11)))*60)</f>
        <v>-2.27797443219753</v>
      </c>
      <c r="H266" s="43" t="n">
        <f aca="false">100*(1+COS($A$10*AQ266))/2</f>
        <v>15.0182027381666</v>
      </c>
      <c r="I266" s="43" t="n">
        <f aca="false">IF(AI266&gt;180,AT266-180,AT266+180)</f>
        <v>52.1350758170482</v>
      </c>
      <c r="J266" s="61" t="n">
        <f aca="false">$J$2+K265</f>
        <v>2459844.5</v>
      </c>
      <c r="K266" s="21" t="n">
        <v>265</v>
      </c>
      <c r="L266" s="62" t="n">
        <f aca="false">(J266-2451545)/36525</f>
        <v>0.227227926078029</v>
      </c>
      <c r="M266" s="63" t="n">
        <f aca="false">MOD(280.46061837+360.98564736629*(J266-2451545)+0.000387933*L266^2-L266^3/38710000+$B$7,360)</f>
        <v>15.8409549235366</v>
      </c>
      <c r="N266" s="30" t="n">
        <f aca="false">0.606433+1336.855225*L266 - INT(0.606433+1336.855225*L266)</f>
        <v>0.377273243326499</v>
      </c>
      <c r="O266" s="35" t="n">
        <f aca="false">22640*SIN(P266)-4586*SIN(P266-2*R266)+2370*SIN(2*R266)+769*SIN(2*P266)-668*SIN(Q266)-412*SIN(2*S266)-212*SIN(2*P266-2*R266)-206*SIN(P266+Q266-2*R266)+192*SIN(P266+2*R266)-165*SIN(Q266-2*R266)-125*SIN(R266)-110*SIN(P266+Q266)+148*SIN(P266-Q266)-55*SIN(2*S266-2*R266)</f>
        <v>-7545.01111187325</v>
      </c>
      <c r="P266" s="32" t="n">
        <f aca="false">2*PI()*(0.374897+1325.55241*L266 - INT(0.374897+1325.55241*L266))</f>
        <v>3.62804962771036</v>
      </c>
      <c r="Q266" s="36" t="n">
        <f aca="false">2*PI()*(0.993133+99.997361*L266 - INT(0.993133+99.997361*L266))</f>
        <v>4.4945255196562</v>
      </c>
      <c r="R266" s="36" t="n">
        <f aca="false">2*PI()*(0.827361+1236.853086*L266 - INT(0.827361+1236.853086*L266))</f>
        <v>5.49730079375907</v>
      </c>
      <c r="S266" s="36" t="n">
        <f aca="false">2*PI()*(0.259086+1342.227825*L266 - INT(0.259086+1342.227825*L266))</f>
        <v>1.57538932880365</v>
      </c>
      <c r="T266" s="36" t="n">
        <f aca="false">S266+(O266+412*SIN(2*S266)+541*SIN(Q266))/206264.8062</f>
        <v>1.53623089261395</v>
      </c>
      <c r="U266" s="36" t="n">
        <f aca="false">S266-2*R266</f>
        <v>-9.41921225871448</v>
      </c>
      <c r="V266" s="34" t="n">
        <f aca="false">-526*SIN(U266)+44*SIN(P266+U266)-31*SIN(-P266+U266)-23*SIN(Q266+U266)+11*SIN(-Q266+U266)-25*SIN(-2*P266+S266)+21*SIN(-P266+S266)</f>
        <v>-27.9328689823519</v>
      </c>
      <c r="W266" s="36" t="n">
        <f aca="false">2*PI()*(N266+O266/1296000-INT(N266+O266/1296000))</f>
        <v>2.33389845314945</v>
      </c>
      <c r="X266" s="35" t="n">
        <f aca="false">W266*180/PI()</f>
        <v>133.722531177575</v>
      </c>
      <c r="Y266" s="36" t="n">
        <f aca="false">(18520*SIN(T266)+V266)/206264.8062</f>
        <v>0.08959843906393</v>
      </c>
      <c r="Z266" s="36" t="n">
        <f aca="false">Y266*180/PI()</f>
        <v>5.13361240932328</v>
      </c>
      <c r="AA266" s="36" t="n">
        <f aca="false">COS(Y266)*COS(W266)</f>
        <v>-0.688394213472484</v>
      </c>
      <c r="AB266" s="36" t="n">
        <f aca="false">COS(Y266)*SIN(W266)</f>
        <v>0.719796489211408</v>
      </c>
      <c r="AC266" s="36" t="n">
        <f aca="false">SIN(Y266)</f>
        <v>0.0894786062504985</v>
      </c>
      <c r="AD266" s="36" t="n">
        <f aca="false">COS($A$10*(23.4393-46.815*L266/3600))*AB266-SIN($A$10*(23.4393-46.815*L266/3600))*AC266</f>
        <v>0.624826763859626</v>
      </c>
      <c r="AE266" s="36" t="n">
        <f aca="false">SIN($A$10*(23.4393-46.815*L266/3600))*AB266+COS($A$10*(23.4393-46.815*L266/3600))*AC266</f>
        <v>0.368381489793267</v>
      </c>
      <c r="AF266" s="36" t="n">
        <f aca="false">SQRT(1-AE266*AE266)</f>
        <v>0.929674716219438</v>
      </c>
      <c r="AG266" s="35" t="n">
        <f aca="false">ATAN(AE266/AF266)/$A$10</f>
        <v>21.6158341469914</v>
      </c>
      <c r="AH266" s="36" t="n">
        <f aca="false">IF(24*ATAN(AD266/(AA266+AF266))/PI()&gt;0,24*ATAN(AD266/(AA266+AF266))/PI(),24*ATAN(AD266/(AA266+AF266))/PI()+24)</f>
        <v>9.18475214627322</v>
      </c>
      <c r="AI266" s="63" t="n">
        <f aca="false">IF(M266-15*AH266&gt;0,M266-15*AH266,360+M266-15*AH266)</f>
        <v>238.069672729438</v>
      </c>
      <c r="AJ266" s="32" t="n">
        <f aca="false">0.950724+0.051818*COS(P266)+0.009531*COS(2*R266-P266)+0.007843*COS(2*R266)+0.002824*COS(2*P266)+0.000857*COS(2*R266+P266)+0.000533*COS(2*R266-Q266)*(1-0.002495*(J266-2415020)/36525)+0.000401*COS(2*R266-Q266-P266)*(1-0.002495*(J266-2415020)/36525)+0.00032*COS(P266-Q266)*(1-0.002495*(J266-2415020)/36525)-0.000271*COS(R266)</f>
        <v>0.910711761313662</v>
      </c>
      <c r="AK266" s="36" t="n">
        <f aca="false">ASIN(COS($A$10*$B$5)*COS($A$10*AG266)*COS($A$10*AI266)+SIN($A$10*$B$5)*SIN($A$10*AG266))/$A$10</f>
        <v>-1.94028383968138</v>
      </c>
      <c r="AL266" s="32" t="n">
        <f aca="false">ASIN((0.9983271+0.0016764*COS($A$10*2*$B$5))*COS($A$10*AK266)*SIN($A$10*AJ266))/$A$10</f>
        <v>0.90840180233658</v>
      </c>
      <c r="AM266" s="32" t="n">
        <f aca="false">AK266-AL266</f>
        <v>-2.84868564201796</v>
      </c>
      <c r="AN266" s="35" t="n">
        <f aca="false"> MOD(280.4664567 + 360007.6982779*L266/10 + 0.03032028*L266^2/100 + L266^3/49931000,360)</f>
        <v>180.846737536558</v>
      </c>
      <c r="AO266" s="32" t="n">
        <f aca="false"> AN266 + (1.9146 - 0.004817*L266 - 0.000014*L266^2)*SIN(Q266)+ (0.019993 - 0.000101*L266)*SIN(2*Q266)+ 0.00029*SIN(3*Q266)</f>
        <v>178.987124222204</v>
      </c>
      <c r="AP266" s="32" t="n">
        <f aca="false">ACOS(COS(W266-$A$10*AO266)*COS(Y266))/$A$10</f>
        <v>45.4918621001347</v>
      </c>
      <c r="AQ266" s="34" t="n">
        <f aca="false">180 - AP266 -0.1468*(1-0.0549*SIN(Q266))*SIN($A$10*AP266)/(1-0.0167*SIN($A$10*AO266))</f>
        <v>134.397803129062</v>
      </c>
      <c r="AR266" s="64" t="n">
        <f aca="false">SIN($A$10*AI266)</f>
        <v>-0.848691860636297</v>
      </c>
      <c r="AS266" s="64" t="n">
        <f aca="false">COS($A$10*AI266)*SIN($A$10*$B$5) - TAN($A$10*AG266)*COS($A$10*$B$5)</f>
        <v>-0.659854557334652</v>
      </c>
      <c r="AT266" s="24" t="n">
        <f aca="false">IF(OR(AND(AR266*AS266&gt;0), AND(AR266&lt;0,AS266&gt;0)), MOD(ATAN2(AS266,AR266)/$A$10+360,360),  ATAN2(AS266,AR266)/$A$10)</f>
        <v>232.135075817048</v>
      </c>
      <c r="AU266" s="39" t="n">
        <f aca="false"> 385000.56 + (-20905355*COS(P266) - 3699111*COS(2*R266-P266) - 2955968*COS(2*R266) - 569925*COS(2*P266) + (1-0.002516*L266)*48888*COS(Q266) - 3149*COS(2*S266)  +246158*COS(2*R266-2*P266) -(1 - 0.002516*L266)*152138*COS(2*R266-Q266-P266) -170733*COS(2*R266+P266) -(1 - 0.002516*L266)*204586*COS(2*R266-Q266) -(1 - 0.002516*L266)*129620*COS(Q266-P266)  + 108743*COS(R266) +(1-0.002516*L266)*104755*COS(Q266+P266) +10321*COS(2*R266-2*S266) +79661*COS(P266-2*S266) -34782*COS(4*R266-P266) -23210*COS(3*P266)  -21636*COS(4*R266-2*P266) +(1 - 0.002516*L266)*24208*COS(2*R266+Q266-P266) +(1 - 0.002516*L266)*30824*COS(2*R266+Q266) -8379*COS(R266-P266) -(1 - 0.002516*L266)*16675*COS(R266+Q266)  -(1 - 0.002516*L266)*12831*COS(2*R266-Q266+P266) -10445*COS(2*R266+2*P266) -11650*COS(4*R266) +14403*COS(2*R266-3*P266) -(1-0.002516*L266)*7003*COS(Q266-2*P266)  + (1 - 0.002516*L266)*10056*COS(2*R266-Q266-2*P266) +6322*COS(R266+P266) -(1 - 0.002516*L266)*(1-0.002516*L266)*9884*COS(2*R266-2*Q266) +(1-0.002516*L266)*5751*COS(Q266+2*P266) - (1-0.002516*L266)^2*4950*COS(2*R266-2*Q266-P266)  +4130*COS(2*R266+P266-2*S266) -(1-0.002516*L266)*3958*COS(4*R266-Q266-P266) +3258*COS(3*R266-P266) +(1 - 0.002516*L266)*2616*COS(2*R266+Q266+P266) -(1 - 0.002516*L266)*1897*COS(4*R266-Q266-2*P266)  -(1-0.002516*L266)^2*2117*COS(2*Q266-P266) +(1-0.002516*L266)^2*2354*COS(2*R266+2*Q266-P266) -1423*COS(4*R266+P266) -1117*COS(4*P266) -(1-0.002516*L266)*1571*COS(4*R266-Q266)  -1739*COS(R266-2*P266) -4421*COS(2*P266-2*S266) +(1-0.002516*L266)^2*1165*COS(2*Q266+P266) +8752*COS(2*R266-P266-2*S266))/1000</f>
        <v>401317.348755806</v>
      </c>
      <c r="AV266" s="54" t="n">
        <f aca="false">ATAN(0.99664719*TAN($A$10*input!$E$2))</f>
        <v>0.871010436227447</v>
      </c>
      <c r="AW266" s="54" t="n">
        <f aca="false">COS(AV266)</f>
        <v>0.644053912545845</v>
      </c>
      <c r="AX266" s="54" t="n">
        <f aca="false">0.99664719*SIN(AV266)</f>
        <v>0.762415269897027</v>
      </c>
      <c r="AY266" s="54" t="n">
        <f aca="false">6378.14/AU266</f>
        <v>0.0158930084128533</v>
      </c>
      <c r="AZ266" s="55" t="n">
        <f aca="false">M266-15*AH266</f>
        <v>-121.930327270562</v>
      </c>
      <c r="BA266" s="56" t="n">
        <f aca="false">COS($A$10*AG266)*SIN($A$10*AZ266)</f>
        <v>-0.789007364694796</v>
      </c>
      <c r="BB266" s="56" t="n">
        <f aca="false">COS($A$10*AG266)*COS($A$10*AZ266)-AW266*AY266</f>
        <v>-0.501929412042029</v>
      </c>
      <c r="BC266" s="56" t="n">
        <f aca="false">SIN($A$10*AG266)-AX266*AY266</f>
        <v>0.356264417494705</v>
      </c>
      <c r="BD266" s="57" t="n">
        <f aca="false">SQRT(BA266^2+BB266^2+BC266^2)</f>
        <v>1.00069480431764</v>
      </c>
      <c r="BE266" s="58" t="n">
        <f aca="false">AU266*BD266</f>
        <v>401596.185782467</v>
      </c>
    </row>
    <row r="267" customFormat="false" ht="15" hidden="false" customHeight="false" outlineLevel="0" collapsed="false">
      <c r="D267" s="41" t="n">
        <f aca="false">K267-INT(275*E267/9)+IF($A$8="common year",2,1)*INT((E267+9)/12)+30</f>
        <v>23</v>
      </c>
      <c r="E267" s="41" t="n">
        <f aca="false">IF(K267&lt;32,1,INT(9*(IF($A$8="common year",2,1)+K267)/275+0.98))</f>
        <v>9</v>
      </c>
      <c r="F267" s="42" t="n">
        <f aca="false">AM267</f>
        <v>-11.7030145500574</v>
      </c>
      <c r="G267" s="60" t="n">
        <f aca="false">F267+1.02/(TAN($A$10*(F267+10.3/(F267+5.11)))*60)</f>
        <v>-11.7751247979904</v>
      </c>
      <c r="H267" s="43" t="n">
        <f aca="false">100*(1+COS($A$10*AQ267))/2</f>
        <v>8.76061135702891</v>
      </c>
      <c r="I267" s="43" t="n">
        <f aca="false">IF(AI267&gt;180,AT267-180,AT267+180)</f>
        <v>45.069598950376</v>
      </c>
      <c r="J267" s="61" t="n">
        <f aca="false">$J$2+K266</f>
        <v>2459845.5</v>
      </c>
      <c r="K267" s="21" t="n">
        <v>266</v>
      </c>
      <c r="L267" s="62" t="n">
        <f aca="false">(J267-2451545)/36525</f>
        <v>0.2272553045859</v>
      </c>
      <c r="M267" s="63" t="n">
        <f aca="false">MOD(280.46061837+360.98564736629*(J267-2451545)+0.000387933*L267^2-L267^3/38710000+$B$7,360)</f>
        <v>16.8266022945754</v>
      </c>
      <c r="N267" s="30" t="n">
        <f aca="false">0.606433+1336.855225*L267 - INT(0.606433+1336.855225*L267)</f>
        <v>0.413874344626947</v>
      </c>
      <c r="O267" s="35" t="n">
        <f aca="false">22640*SIN(P267)-4586*SIN(P267-2*R267)+2370*SIN(2*R267)+769*SIN(2*P267)-668*SIN(Q267)-412*SIN(2*S267)-212*SIN(2*P267-2*R267)-206*SIN(P267+Q267-2*R267)+192*SIN(P267+2*R267)-165*SIN(Q267-2*R267)-125*SIN(R267)-110*SIN(P267+Q267)+148*SIN(P267-Q267)-55*SIN(2*S267-2*R267)</f>
        <v>-10978.2935605066</v>
      </c>
      <c r="P267" s="32" t="n">
        <f aca="false">2*PI()*(0.374897+1325.55241*L267 - INT(0.374897+1325.55241*L267))</f>
        <v>3.85607677148618</v>
      </c>
      <c r="Q267" s="36" t="n">
        <f aca="false">2*PI()*(0.993133+99.997361*L267 - INT(0.993133+99.997361*L267))</f>
        <v>4.5117274895232</v>
      </c>
      <c r="R267" s="36" t="n">
        <f aca="false">2*PI()*(0.827361+1236.853086*L267 - INT(0.827361+1236.853086*L267))</f>
        <v>5.71006950387809</v>
      </c>
      <c r="S267" s="36" t="n">
        <f aca="false">2*PI()*(0.259086+1342.227825*L267 - INT(0.259086+1342.227825*L267))</f>
        <v>1.80628504814466</v>
      </c>
      <c r="T267" s="36" t="n">
        <f aca="false">S267+(O267+412*SIN(2*S267)+541*SIN(Q267))/206264.8062</f>
        <v>1.74958421448278</v>
      </c>
      <c r="U267" s="36" t="n">
        <f aca="false">S267-2*R267</f>
        <v>-9.61385395961152</v>
      </c>
      <c r="V267" s="34" t="n">
        <f aca="false">-526*SIN(U267)+44*SIN(P267+U267)-31*SIN(-P267+U267)-23*SIN(Q267+U267)+11*SIN(-Q267+U267)-25*SIN(-2*P267+S267)+21*SIN(-P267+S267)</f>
        <v>-112.563740478877</v>
      </c>
      <c r="W267" s="36" t="n">
        <f aca="false">2*PI()*(N267+O267/1296000-INT(N267+O267/1296000))</f>
        <v>2.54722493204491</v>
      </c>
      <c r="X267" s="35" t="n">
        <f aca="false">W267*180/PI()</f>
        <v>145.945238076671</v>
      </c>
      <c r="Y267" s="36" t="n">
        <f aca="false">(18520*SIN(T267)+V267)/206264.8062</f>
        <v>0.0878105543581343</v>
      </c>
      <c r="Z267" s="36" t="n">
        <f aca="false">Y267*180/PI()</f>
        <v>5.03117416142519</v>
      </c>
      <c r="AA267" s="36" t="n">
        <f aca="false">COS(Y267)*COS(W267)</f>
        <v>-0.825310617503774</v>
      </c>
      <c r="AB267" s="36" t="n">
        <f aca="false">COS(Y267)*SIN(W267)</f>
        <v>0.557827472503456</v>
      </c>
      <c r="AC267" s="36" t="n">
        <f aca="false">SIN(Y267)</f>
        <v>0.087697751145315</v>
      </c>
      <c r="AD267" s="36" t="n">
        <f aca="false">COS($A$10*(23.4393-46.815*L267/3600))*AB267-SIN($A$10*(23.4393-46.815*L267/3600))*AC267</f>
        <v>0.476928085238594</v>
      </c>
      <c r="AE267" s="36" t="n">
        <f aca="false">SIN($A$10*(23.4393-46.815*L267/3600))*AB267+COS($A$10*(23.4393-46.815*L267/3600))*AC267</f>
        <v>0.302327613932614</v>
      </c>
      <c r="AF267" s="36" t="n">
        <f aca="false">SQRT(1-AE267*AE267)</f>
        <v>0.95320407775765</v>
      </c>
      <c r="AG267" s="35" t="n">
        <f aca="false">ATAN(AE267/AF267)/$A$10</f>
        <v>17.597458781044</v>
      </c>
      <c r="AH267" s="36" t="n">
        <f aca="false">IF(24*ATAN(AD267/(AA267+AF267))/PI()&gt;0,24*ATAN(AD267/(AA267+AF267))/PI(),24*ATAN(AD267/(AA267+AF267))/PI()+24)</f>
        <v>9.99849115807527</v>
      </c>
      <c r="AI267" s="63" t="n">
        <f aca="false">IF(M267-15*AH267&gt;0,M267-15*AH267,360+M267-15*AH267)</f>
        <v>226.849234923446</v>
      </c>
      <c r="AJ267" s="32" t="n">
        <f aca="false">0.950724+0.051818*COS(P267)+0.009531*COS(2*R267-P267)+0.007843*COS(2*R267)+0.002824*COS(2*P267)+0.000857*COS(2*R267+P267)+0.000533*COS(2*R267-Q267)*(1-0.002495*(J267-2415020)/36525)+0.000401*COS(2*R267-Q267-P267)*(1-0.002495*(J267-2415020)/36525)+0.00032*COS(P267-Q267)*(1-0.002495*(J267-2415020)/36525)-0.000271*COS(R267)</f>
        <v>0.917213118669029</v>
      </c>
      <c r="AK267" s="36" t="n">
        <f aca="false">ASIN(COS($A$10*$B$5)*COS($A$10*AG267)*COS($A$10*AI267)+SIN($A$10*$B$5)*SIN($A$10*AG267))/$A$10</f>
        <v>-10.8038302634897</v>
      </c>
      <c r="AL267" s="32" t="n">
        <f aca="false">ASIN((0.9983271+0.0016764*COS($A$10*2*$B$5))*COS($A$10*AK267)*SIN($A$10*AJ267))/$A$10</f>
        <v>0.899184286567656</v>
      </c>
      <c r="AM267" s="32" t="n">
        <f aca="false">AK267-AL267</f>
        <v>-11.7030145500574</v>
      </c>
      <c r="AN267" s="35" t="n">
        <f aca="false"> MOD(280.4664567 + 360007.6982779*L267/10 + 0.03032028*L267^2/100 + L267^3/49931000,360)</f>
        <v>181.832384900434</v>
      </c>
      <c r="AO267" s="32" t="n">
        <f aca="false"> AN267 + (1.9146 - 0.004817*L267 - 0.000014*L267^2)*SIN(Q267)+ (0.019993 - 0.000101*L267)*SIN(2*Q267)+ 0.00029*SIN(3*Q267)</f>
        <v>179.965314938366</v>
      </c>
      <c r="AP267" s="32" t="n">
        <f aca="false">ACOS(COS(W267-$A$10*AO267)*COS(Y267))/$A$10</f>
        <v>34.3457403396549</v>
      </c>
      <c r="AQ267" s="34" t="n">
        <f aca="false">180 - AP267 -0.1468*(1-0.0549*SIN(Q267))*SIN($A$10*AP267)/(1-0.0167*SIN($A$10*AO267))</f>
        <v>145.566980651635</v>
      </c>
      <c r="AR267" s="64" t="n">
        <f aca="false">SIN($A$10*AI267)</f>
        <v>-0.729556597422745</v>
      </c>
      <c r="AS267" s="64" t="n">
        <f aca="false">COS($A$10*AI267)*SIN($A$10*$B$5) - TAN($A$10*AG267)*COS($A$10*$B$5)</f>
        <v>-0.727786317169221</v>
      </c>
      <c r="AT267" s="24" t="n">
        <f aca="false">IF(OR(AND(AR267*AS267&gt;0), AND(AR267&lt;0,AS267&gt;0)), MOD(ATAN2(AS267,AR267)/$A$10+360,360),  ATAN2(AS267,AR267)/$A$10)</f>
        <v>225.069598950376</v>
      </c>
      <c r="AU267" s="39" t="n">
        <f aca="false"> 385000.56 + (-20905355*COS(P267) - 3699111*COS(2*R267-P267) - 2955968*COS(2*R267) - 569925*COS(2*P267) + (1-0.002516*L267)*48888*COS(Q267) - 3149*COS(2*S267)  +246158*COS(2*R267-2*P267) -(1 - 0.002516*L267)*152138*COS(2*R267-Q267-P267) -170733*COS(2*R267+P267) -(1 - 0.002516*L267)*204586*COS(2*R267-Q267) -(1 - 0.002516*L267)*129620*COS(Q267-P267)  + 108743*COS(R267) +(1-0.002516*L267)*104755*COS(Q267+P267) +10321*COS(2*R267-2*S267) +79661*COS(P267-2*S267) -34782*COS(4*R267-P267) -23210*COS(3*P267)  -21636*COS(4*R267-2*P267) +(1 - 0.002516*L267)*24208*COS(2*R267+Q267-P267) +(1 - 0.002516*L267)*30824*COS(2*R267+Q267) -8379*COS(R267-P267) -(1 - 0.002516*L267)*16675*COS(R267+Q267)  -(1 - 0.002516*L267)*12831*COS(2*R267-Q267+P267) -10445*COS(2*R267+2*P267) -11650*COS(4*R267) +14403*COS(2*R267-3*P267) -(1-0.002516*L267)*7003*COS(Q267-2*P267)  + (1 - 0.002516*L267)*10056*COS(2*R267-Q267-2*P267) +6322*COS(R267+P267) -(1 - 0.002516*L267)*(1-0.002516*L267)*9884*COS(2*R267-2*Q267) +(1-0.002516*L267)*5751*COS(Q267+2*P267) - (1-0.002516*L267)^2*4950*COS(2*R267-2*Q267-P267)  +4130*COS(2*R267+P267-2*S267) -(1-0.002516*L267)*3958*COS(4*R267-Q267-P267) +3258*COS(3*R267-P267) +(1 - 0.002516*L267)*2616*COS(2*R267+Q267+P267) -(1 - 0.002516*L267)*1897*COS(4*R267-Q267-2*P267)  -(1-0.002516*L267)^2*2117*COS(2*Q267-P267) +(1-0.002516*L267)^2*2354*COS(2*R267+2*Q267-P267) -1423*COS(4*R267+P267) -1117*COS(4*P267) -(1-0.002516*L267)*1571*COS(4*R267-Q267)  -1739*COS(R267-2*P267) -4421*COS(2*P267-2*S267) +(1-0.002516*L267)^2*1165*COS(2*Q267+P267) +8752*COS(2*R267-P267-2*S267))/1000</f>
        <v>398393.743991812</v>
      </c>
      <c r="AV267" s="54" t="n">
        <f aca="false">ATAN(0.99664719*TAN($A$10*input!$E$2))</f>
        <v>0.871010436227447</v>
      </c>
      <c r="AW267" s="54" t="n">
        <f aca="false">COS(AV267)</f>
        <v>0.644053912545845</v>
      </c>
      <c r="AX267" s="54" t="n">
        <f aca="false">0.99664719*SIN(AV267)</f>
        <v>0.762415269897027</v>
      </c>
      <c r="AY267" s="54" t="n">
        <f aca="false">6378.14/AU267</f>
        <v>0.0160096389468683</v>
      </c>
      <c r="AZ267" s="55" t="n">
        <f aca="false">M267-15*AH267</f>
        <v>-133.150765076554</v>
      </c>
      <c r="BA267" s="56" t="n">
        <f aca="false">COS($A$10*AG267)*SIN($A$10*AZ267)</f>
        <v>-0.695416323618356</v>
      </c>
      <c r="BB267" s="56" t="n">
        <f aca="false">COS($A$10*AG267)*COS($A$10*AZ267)-AW267*AY267</f>
        <v>-0.662226824897885</v>
      </c>
      <c r="BC267" s="56" t="n">
        <f aca="false">SIN($A$10*AG267)-AX267*AY267</f>
        <v>0.290121620733983</v>
      </c>
      <c r="BD267" s="57" t="n">
        <f aca="false">SQRT(BA267^2+BB267^2+BC267^2)</f>
        <v>1.003154417618</v>
      </c>
      <c r="BE267" s="58" t="n">
        <f aca="false">AU267*BD267</f>
        <v>399650.444236763</v>
      </c>
    </row>
    <row r="268" customFormat="false" ht="15" hidden="false" customHeight="false" outlineLevel="0" collapsed="false">
      <c r="D268" s="41" t="n">
        <f aca="false">K268-INT(275*E268/9)+IF($A$8="common year",2,1)*INT((E268+9)/12)+30</f>
        <v>24</v>
      </c>
      <c r="E268" s="41" t="n">
        <f aca="false">IF(K268&lt;32,1,INT(9*(IF($A$8="common year",2,1)+K268)/275+0.98))</f>
        <v>9</v>
      </c>
      <c r="F268" s="42" t="n">
        <f aca="false">AM268</f>
        <v>-20.6076472912883</v>
      </c>
      <c r="G268" s="60" t="n">
        <f aca="false">F268+1.02/(TAN($A$10*(F268+10.3/(F268+5.11)))*60)</f>
        <v>-20.6513124805647</v>
      </c>
      <c r="H268" s="43" t="n">
        <f aca="false">100*(1+COS($A$10*AQ268))/2</f>
        <v>4.00460689313101</v>
      </c>
      <c r="I268" s="43" t="n">
        <f aca="false">IF(AI268&gt;180,AT268-180,AT268+180)</f>
        <v>37.5223747494615</v>
      </c>
      <c r="J268" s="61" t="n">
        <f aca="false">$J$2+K267</f>
        <v>2459846.5</v>
      </c>
      <c r="K268" s="21" t="n">
        <v>267</v>
      </c>
      <c r="L268" s="62" t="n">
        <f aca="false">(J268-2451545)/36525</f>
        <v>0.227282683093771</v>
      </c>
      <c r="M268" s="63" t="n">
        <f aca="false">MOD(280.46061837+360.98564736629*(J268-2451545)+0.000387933*L268^2-L268^3/38710000+$B$7,360)</f>
        <v>17.8122496656142</v>
      </c>
      <c r="N268" s="30" t="n">
        <f aca="false">0.606433+1336.855225*L268 - INT(0.606433+1336.855225*L268)</f>
        <v>0.450475445927452</v>
      </c>
      <c r="O268" s="35" t="n">
        <f aca="false">22640*SIN(P268)-4586*SIN(P268-2*R268)+2370*SIN(2*R268)+769*SIN(2*P268)-668*SIN(Q268)-412*SIN(2*S268)-212*SIN(2*P268-2*R268)-206*SIN(P268+Q268-2*R268)+192*SIN(P268+2*R268)-165*SIN(Q268-2*R268)-125*SIN(R268)-110*SIN(P268+Q268)+148*SIN(P268-Q268)-55*SIN(2*S268-2*R268)</f>
        <v>-13667.1128434977</v>
      </c>
      <c r="P268" s="32" t="n">
        <f aca="false">2*PI()*(0.374897+1325.55241*L268 - INT(0.374897+1325.55241*L268))</f>
        <v>4.08410391526199</v>
      </c>
      <c r="Q268" s="36" t="n">
        <f aca="false">2*PI()*(0.993133+99.997361*L268 - INT(0.993133+99.997361*L268))</f>
        <v>4.52892945939019</v>
      </c>
      <c r="R268" s="36" t="n">
        <f aca="false">2*PI()*(0.827361+1236.853086*L268 - INT(0.827361+1236.853086*L268))</f>
        <v>5.92283821399711</v>
      </c>
      <c r="S268" s="36" t="n">
        <f aca="false">2*PI()*(0.259086+1342.227825*L268 - INT(0.259086+1342.227825*L268))</f>
        <v>2.03718076748566</v>
      </c>
      <c r="T268" s="36" t="n">
        <f aca="false">S268+(O268+412*SIN(2*S268)+541*SIN(Q268))/206264.8062</f>
        <v>1.96673742604557</v>
      </c>
      <c r="U268" s="36" t="n">
        <f aca="false">S268-2*R268</f>
        <v>-9.80849566050857</v>
      </c>
      <c r="V268" s="34" t="n">
        <f aca="false">-526*SIN(U268)+44*SIN(P268+U268)-31*SIN(-P268+U268)-23*SIN(Q268+U268)+11*SIN(-Q268+U268)-25*SIN(-2*P268+S268)+21*SIN(-P268+S268)</f>
        <v>-196.14657553687</v>
      </c>
      <c r="W268" s="36" t="n">
        <f aca="false">2*PI()*(N268+O268/1296000-INT(N268+O268/1296000))</f>
        <v>2.76416067021858</v>
      </c>
      <c r="X268" s="35" t="n">
        <f aca="false">W268*180/PI()</f>
        <v>158.374740299578</v>
      </c>
      <c r="Y268" s="36" t="n">
        <f aca="false">(18520*SIN(T268)+V268)/206264.8062</f>
        <v>0.0818900502519768</v>
      </c>
      <c r="Z268" s="36" t="n">
        <f aca="false">Y268*180/PI()</f>
        <v>4.69195426355249</v>
      </c>
      <c r="AA268" s="36" t="n">
        <f aca="false">COS(Y268)*COS(W268)</f>
        <v>-0.926498856867257</v>
      </c>
      <c r="AB268" s="36" t="n">
        <f aca="false">COS(Y268)*SIN(W268)</f>
        <v>0.367299420846452</v>
      </c>
      <c r="AC268" s="36" t="n">
        <f aca="false">SIN(Y268)</f>
        <v>0.0817985554244521</v>
      </c>
      <c r="AD268" s="36" t="n">
        <f aca="false">COS($A$10*(23.4393-46.815*L268/3600))*AB268-SIN($A$10*(23.4393-46.815*L268/3600))*AC268</f>
        <v>0.304464406787699</v>
      </c>
      <c r="AE268" s="36" t="n">
        <f aca="false">SIN($A$10*(23.4393-46.815*L268/3600))*AB268+COS($A$10*(23.4393-46.815*L268/3600))*AC268</f>
        <v>0.22113636793409</v>
      </c>
      <c r="AF268" s="36" t="n">
        <f aca="false">SQRT(1-AE268*AE268)</f>
        <v>0.975242896296568</v>
      </c>
      <c r="AG268" s="35" t="n">
        <f aca="false">ATAN(AE268/AF268)/$A$10</f>
        <v>12.7757861104858</v>
      </c>
      <c r="AH268" s="36" t="n">
        <f aca="false">IF(24*ATAN(AD268/(AA268+AF268))/PI()&gt;0,24*ATAN(AD268/(AA268+AF268))/PI(),24*ATAN(AD268/(AA268+AF268))/PI()+24)</f>
        <v>10.7872356349077</v>
      </c>
      <c r="AI268" s="63" t="n">
        <f aca="false">IF(M268-15*AH268&gt;0,M268-15*AH268,360+M268-15*AH268)</f>
        <v>216.003715141998</v>
      </c>
      <c r="AJ268" s="32" t="n">
        <f aca="false">0.950724+0.051818*COS(P268)+0.009531*COS(2*R268-P268)+0.007843*COS(2*R268)+0.002824*COS(2*P268)+0.000857*COS(2*R268+P268)+0.000533*COS(2*R268-Q268)*(1-0.002495*(J268-2415020)/36525)+0.000401*COS(2*R268-Q268-P268)*(1-0.002495*(J268-2415020)/36525)+0.00032*COS(P268-Q268)*(1-0.002495*(J268-2415020)/36525)-0.000271*COS(R268)</f>
        <v>0.92523921721498</v>
      </c>
      <c r="AK268" s="36" t="n">
        <f aca="false">ASIN(COS($A$10*$B$5)*COS($A$10*AG268)*COS($A$10*AI268)+SIN($A$10*$B$5)*SIN($A$10*AG268))/$A$10</f>
        <v>-19.7384863649756</v>
      </c>
      <c r="AL268" s="32" t="n">
        <f aca="false">ASIN((0.9983271+0.0016764*COS($A$10*2*$B$5))*COS($A$10*AK268)*SIN($A$10*AJ268))/$A$10</f>
        <v>0.869160926312654</v>
      </c>
      <c r="AM268" s="32" t="n">
        <f aca="false">AK268-AL268</f>
        <v>-20.6076472912883</v>
      </c>
      <c r="AN268" s="35" t="n">
        <f aca="false"> MOD(280.4664567 + 360007.6982779*L268/10 + 0.03032028*L268^2/100 + L268^3/49931000,360)</f>
        <v>182.818032264311</v>
      </c>
      <c r="AO268" s="32" t="n">
        <f aca="false"> AN268 + (1.9146 - 0.004817*L268 - 0.000014*L268^2)*SIN(Q268)+ (0.019993 - 0.000101*L268)*SIN(2*Q268)+ 0.00029*SIN(3*Q268)</f>
        <v>180.9440506325</v>
      </c>
      <c r="AP268" s="32" t="n">
        <f aca="false">ACOS(COS(W268-$A$10*AO268)*COS(Y268))/$A$10</f>
        <v>23.0268786047856</v>
      </c>
      <c r="AQ268" s="34" t="n">
        <f aca="false">180 - AP268 -0.1468*(1-0.0549*SIN(Q268))*SIN($A$10*AP268)/(1-0.0167*SIN($A$10*AO268))</f>
        <v>156.912615724609</v>
      </c>
      <c r="AR268" s="64" t="n">
        <f aca="false">SIN($A$10*AI268)</f>
        <v>-0.587837708899913</v>
      </c>
      <c r="AS268" s="64" t="n">
        <f aca="false">COS($A$10*AI268)*SIN($A$10*$B$5) - TAN($A$10*AG268)*COS($A$10*$B$5)</f>
        <v>-0.765465893137746</v>
      </c>
      <c r="AT268" s="24" t="n">
        <f aca="false">IF(OR(AND(AR268*AS268&gt;0), AND(AR268&lt;0,AS268&gt;0)), MOD(ATAN2(AS268,AR268)/$A$10+360,360),  ATAN2(AS268,AR268)/$A$10)</f>
        <v>217.522374749461</v>
      </c>
      <c r="AU268" s="39" t="n">
        <f aca="false"> 385000.56 + (-20905355*COS(P268) - 3699111*COS(2*R268-P268) - 2955968*COS(2*R268) - 569925*COS(2*P268) + (1-0.002516*L268)*48888*COS(Q268) - 3149*COS(2*S268)  +246158*COS(2*R268-2*P268) -(1 - 0.002516*L268)*152138*COS(2*R268-Q268-P268) -170733*COS(2*R268+P268) -(1 - 0.002516*L268)*204586*COS(2*R268-Q268) -(1 - 0.002516*L268)*129620*COS(Q268-P268)  + 108743*COS(R268) +(1-0.002516*L268)*104755*COS(Q268+P268) +10321*COS(2*R268-2*S268) +79661*COS(P268-2*S268) -34782*COS(4*R268-P268) -23210*COS(3*P268)  -21636*COS(4*R268-2*P268) +(1 - 0.002516*L268)*24208*COS(2*R268+Q268-P268) +(1 - 0.002516*L268)*30824*COS(2*R268+Q268) -8379*COS(R268-P268) -(1 - 0.002516*L268)*16675*COS(R268+Q268)  -(1 - 0.002516*L268)*12831*COS(2*R268-Q268+P268) -10445*COS(2*R268+2*P268) -11650*COS(4*R268) +14403*COS(2*R268-3*P268) -(1-0.002516*L268)*7003*COS(Q268-2*P268)  + (1 - 0.002516*L268)*10056*COS(2*R268-Q268-2*P268) +6322*COS(R268+P268) -(1 - 0.002516*L268)*(1-0.002516*L268)*9884*COS(2*R268-2*Q268) +(1-0.002516*L268)*5751*COS(Q268+2*P268) - (1-0.002516*L268)^2*4950*COS(2*R268-2*Q268-P268)  +4130*COS(2*R268+P268-2*S268) -(1-0.002516*L268)*3958*COS(4*R268-Q268-P268) +3258*COS(3*R268-P268) +(1 - 0.002516*L268)*2616*COS(2*R268+Q268+P268) -(1 - 0.002516*L268)*1897*COS(4*R268-Q268-2*P268)  -(1-0.002516*L268)^2*2117*COS(2*Q268-P268) +(1-0.002516*L268)^2*2354*COS(2*R268+2*Q268-P268) -1423*COS(4*R268+P268) -1117*COS(4*P268) -(1-0.002516*L268)*1571*COS(4*R268-Q268)  -1739*COS(R268-2*P268) -4421*COS(2*P268-2*S268) +(1-0.002516*L268)^2*1165*COS(2*Q268+P268) +8752*COS(2*R268-P268-2*S268))/1000</f>
        <v>394900.972137306</v>
      </c>
      <c r="AV268" s="54" t="n">
        <f aca="false">ATAN(0.99664719*TAN($A$10*input!$E$2))</f>
        <v>0.871010436227447</v>
      </c>
      <c r="AW268" s="54" t="n">
        <f aca="false">COS(AV268)</f>
        <v>0.644053912545845</v>
      </c>
      <c r="AX268" s="54" t="n">
        <f aca="false">0.99664719*SIN(AV268)</f>
        <v>0.762415269897027</v>
      </c>
      <c r="AY268" s="54" t="n">
        <f aca="false">6378.14/AU268</f>
        <v>0.0161512390447657</v>
      </c>
      <c r="AZ268" s="55" t="n">
        <f aca="false">M268-15*AH268</f>
        <v>-143.996284858002</v>
      </c>
      <c r="BA268" s="56" t="n">
        <f aca="false">COS($A$10*AG268)*SIN($A$10*AZ268)</f>
        <v>-0.573284549779889</v>
      </c>
      <c r="BB268" s="56" t="n">
        <f aca="false">COS($A$10*AG268)*COS($A$10*AZ268)-AW268*AY268</f>
        <v>-0.799353174497944</v>
      </c>
      <c r="BC268" s="56" t="n">
        <f aca="false">SIN($A$10*AG268)-AX268*AY268</f>
        <v>0.208822416658603</v>
      </c>
      <c r="BD268" s="57" t="n">
        <f aca="false">SQRT(BA268^2+BB268^2+BC268^2)</f>
        <v>1.00559806796523</v>
      </c>
      <c r="BE268" s="58" t="n">
        <f aca="false">AU268*BD268</f>
        <v>397111.654618868</v>
      </c>
    </row>
    <row r="269" customFormat="false" ht="15" hidden="false" customHeight="false" outlineLevel="0" collapsed="false">
      <c r="D269" s="41" t="n">
        <f aca="false">K269-INT(275*E269/9)+IF($A$8="common year",2,1)*INT((E269+9)/12)+30</f>
        <v>25</v>
      </c>
      <c r="E269" s="41" t="n">
        <f aca="false">IF(K269&lt;32,1,INT(9*(IF($A$8="common year",2,1)+K269)/275+0.98))</f>
        <v>9</v>
      </c>
      <c r="F269" s="42" t="n">
        <f aca="false">AM269</f>
        <v>-29.3783999405505</v>
      </c>
      <c r="G269" s="60" t="n">
        <f aca="false">F269+1.02/(TAN($A$10*(F269+10.3/(F269+5.11)))*60)</f>
        <v>-29.4080802262254</v>
      </c>
      <c r="H269" s="43" t="n">
        <f aca="false">100*(1+COS($A$10*AQ269))/2</f>
        <v>1.0323701664169</v>
      </c>
      <c r="I269" s="43" t="n">
        <f aca="false">IF(AI269&gt;180,AT269-180,AT269+180)</f>
        <v>28.971399862568</v>
      </c>
      <c r="J269" s="61" t="n">
        <f aca="false">$J$2+K268</f>
        <v>2459847.5</v>
      </c>
      <c r="K269" s="21" t="n">
        <v>268</v>
      </c>
      <c r="L269" s="62" t="n">
        <f aca="false">(J269-2451545)/36525</f>
        <v>0.227310061601643</v>
      </c>
      <c r="M269" s="63" t="n">
        <f aca="false">MOD(280.46061837+360.98564736629*(J269-2451545)+0.000387933*L269^2-L269^3/38710000+$B$7,360)</f>
        <v>18.797897036653</v>
      </c>
      <c r="N269" s="30" t="n">
        <f aca="false">0.606433+1336.855225*L269 - INT(0.606433+1336.855225*L269)</f>
        <v>0.4870765472279</v>
      </c>
      <c r="O269" s="35" t="n">
        <f aca="false">22640*SIN(P269)-4586*SIN(P269-2*R269)+2370*SIN(2*R269)+769*SIN(2*P269)-668*SIN(Q269)-412*SIN(2*S269)-212*SIN(2*P269-2*R269)-206*SIN(P269+Q269-2*R269)+192*SIN(P269+2*R269)-165*SIN(Q269-2*R269)-125*SIN(R269)-110*SIN(P269+Q269)+148*SIN(P269-Q269)-55*SIN(2*S269-2*R269)</f>
        <v>-15524.9261794638</v>
      </c>
      <c r="P269" s="32" t="n">
        <f aca="false">2*PI()*(0.374897+1325.55241*L269 - INT(0.374897+1325.55241*L269))</f>
        <v>4.31213105903781</v>
      </c>
      <c r="Q269" s="36" t="n">
        <f aca="false">2*PI()*(0.993133+99.997361*L269 - INT(0.993133+99.997361*L269))</f>
        <v>4.5461314292572</v>
      </c>
      <c r="R269" s="36" t="n">
        <f aca="false">2*PI()*(0.827361+1236.853086*L269 - INT(0.827361+1236.853086*L269))</f>
        <v>6.13560692411578</v>
      </c>
      <c r="S269" s="36" t="n">
        <f aca="false">2*PI()*(0.259086+1342.227825*L269 - INT(0.259086+1342.227825*L269))</f>
        <v>2.26807648682631</v>
      </c>
      <c r="T269" s="36" t="n">
        <f aca="false">S269+(O269+412*SIN(2*S269)+541*SIN(Q269))/206264.8062</f>
        <v>2.18825635169672</v>
      </c>
      <c r="U269" s="36" t="n">
        <f aca="false">S269-2*R269</f>
        <v>-10.0031373614053</v>
      </c>
      <c r="V269" s="34" t="n">
        <f aca="false">-526*SIN(U269)+44*SIN(P269+U269)-31*SIN(-P269+U269)-23*SIN(Q269+U269)+11*SIN(-Q269+U269)-25*SIN(-2*P269+S269)+21*SIN(-P269+S269)</f>
        <v>-276.329786398916</v>
      </c>
      <c r="W269" s="36" t="n">
        <f aca="false">2*PI()*(N269+O269/1296000-INT(N269+O269/1296000))</f>
        <v>2.98512523891391</v>
      </c>
      <c r="X269" s="35" t="n">
        <f aca="false">W269*180/PI()</f>
        <v>171.035077507749</v>
      </c>
      <c r="Y269" s="36" t="n">
        <f aca="false">(18520*SIN(T269)+V269)/206264.8062</f>
        <v>0.0718686960898618</v>
      </c>
      <c r="Z269" s="36" t="n">
        <f aca="false">Y269*180/PI()</f>
        <v>4.11777296505744</v>
      </c>
      <c r="AA269" s="36" t="n">
        <f aca="false">COS(Y269)*COS(W269)</f>
        <v>-0.985234019253774</v>
      </c>
      <c r="AB269" s="36" t="n">
        <f aca="false">COS(Y269)*SIN(W269)</f>
        <v>0.155427489494835</v>
      </c>
      <c r="AC269" s="36" t="n">
        <f aca="false">SIN(Y269)</f>
        <v>0.0718068437851657</v>
      </c>
      <c r="AD269" s="36" t="n">
        <f aca="false">COS($A$10*(23.4393-46.815*L269/3600))*AB269-SIN($A$10*(23.4393-46.815*L269/3600))*AC269</f>
        <v>0.114045380104808</v>
      </c>
      <c r="AE269" s="36" t="n">
        <f aca="false">SIN($A$10*(23.4393-46.815*L269/3600))*AB269+COS($A$10*(23.4393-46.815*L269/3600))*AC269</f>
        <v>0.127701129915926</v>
      </c>
      <c r="AF269" s="36" t="n">
        <f aca="false">SQRT(1-AE269*AE269)</f>
        <v>0.991812694725267</v>
      </c>
      <c r="AG269" s="35" t="n">
        <f aca="false">ATAN(AE269/AF269)/$A$10</f>
        <v>7.33676952404676</v>
      </c>
      <c r="AH269" s="36" t="n">
        <f aca="false">IF(24*ATAN(AD269/(AA269+AF269))/PI()&gt;0,24*ATAN(AD269/(AA269+AF269))/PI(),24*ATAN(AD269/(AA269+AF269))/PI()+24)</f>
        <v>11.5598090400169</v>
      </c>
      <c r="AI269" s="63" t="n">
        <f aca="false">IF(M269-15*AH269&gt;0,M269-15*AH269,360+M269-15*AH269)</f>
        <v>205.400761436399</v>
      </c>
      <c r="AJ269" s="32" t="n">
        <f aca="false">0.950724+0.051818*COS(P269)+0.009531*COS(2*R269-P269)+0.007843*COS(2*R269)+0.002824*COS(2*P269)+0.000857*COS(2*R269+P269)+0.000533*COS(2*R269-Q269)*(1-0.002495*(J269-2415020)/36525)+0.000401*COS(2*R269-Q269-P269)*(1-0.002495*(J269-2415020)/36525)+0.00032*COS(P269-Q269)*(1-0.002495*(J269-2415020)/36525)-0.000271*COS(R269)</f>
        <v>0.934246670482991</v>
      </c>
      <c r="AK269" s="36" t="n">
        <f aca="false">ASIN(COS($A$10*$B$5)*COS($A$10*AG269)*COS($A$10*AI269)+SIN($A$10*$B$5)*SIN($A$10*AG269))/$A$10</f>
        <v>-28.5594509785084</v>
      </c>
      <c r="AL269" s="32" t="n">
        <f aca="false">ASIN((0.9983271+0.0016764*COS($A$10*2*$B$5))*COS($A$10*AK269)*SIN($A$10*AJ269))/$A$10</f>
        <v>0.818948962042049</v>
      </c>
      <c r="AM269" s="32" t="n">
        <f aca="false">AK269-AL269</f>
        <v>-29.3783999405505</v>
      </c>
      <c r="AN269" s="35" t="n">
        <f aca="false"> MOD(280.4664567 + 360007.6982779*L269/10 + 0.03032028*L269^2/100 + L269^3/49931000,360)</f>
        <v>183.803679628189</v>
      </c>
      <c r="AO269" s="32" t="n">
        <f aca="false"> AN269 + (1.9146 - 0.004817*L269 - 0.000014*L269^2)*SIN(Q269)+ (0.019993 - 0.000101*L269)*SIN(2*Q269)+ 0.00029*SIN(3*Q269)</f>
        <v>181.923333895768</v>
      </c>
      <c r="AP269" s="32" t="n">
        <f aca="false">ACOS(COS(W269-$A$10*AO269)*COS(Y269))/$A$10</f>
        <v>11.6320893823063</v>
      </c>
      <c r="AQ269" s="34" t="n">
        <f aca="false">180 - AP269 -0.1468*(1-0.0549*SIN(Q269))*SIN($A$10*AP269)/(1-0.0167*SIN($A$10*AO269))</f>
        <v>168.336726757489</v>
      </c>
      <c r="AR269" s="64" t="n">
        <f aca="false">SIN($A$10*AI269)</f>
        <v>-0.428947138304873</v>
      </c>
      <c r="AS269" s="64" t="n">
        <f aca="false">COS($A$10*AI269)*SIN($A$10*$B$5) - TAN($A$10*AG269)*COS($A$10*$B$5)</f>
        <v>-0.774752918881085</v>
      </c>
      <c r="AT269" s="24" t="n">
        <f aca="false">IF(OR(AND(AR269*AS269&gt;0), AND(AR269&lt;0,AS269&gt;0)), MOD(ATAN2(AS269,AR269)/$A$10+360,360),  ATAN2(AS269,AR269)/$A$10)</f>
        <v>208.971399862568</v>
      </c>
      <c r="AU269" s="39" t="n">
        <f aca="false"> 385000.56 + (-20905355*COS(P269) - 3699111*COS(2*R269-P269) - 2955968*COS(2*R269) - 569925*COS(2*P269) + (1-0.002516*L269)*48888*COS(Q269) - 3149*COS(2*S269)  +246158*COS(2*R269-2*P269) -(1 - 0.002516*L269)*152138*COS(2*R269-Q269-P269) -170733*COS(2*R269+P269) -(1 - 0.002516*L269)*204586*COS(2*R269-Q269) -(1 - 0.002516*L269)*129620*COS(Q269-P269)  + 108743*COS(R269) +(1-0.002516*L269)*104755*COS(Q269+P269) +10321*COS(2*R269-2*S269) +79661*COS(P269-2*S269) -34782*COS(4*R269-P269) -23210*COS(3*P269)  -21636*COS(4*R269-2*P269) +(1 - 0.002516*L269)*24208*COS(2*R269+Q269-P269) +(1 - 0.002516*L269)*30824*COS(2*R269+Q269) -8379*COS(R269-P269) -(1 - 0.002516*L269)*16675*COS(R269+Q269)  -(1 - 0.002516*L269)*12831*COS(2*R269-Q269+P269) -10445*COS(2*R269+2*P269) -11650*COS(4*R269) +14403*COS(2*R269-3*P269) -(1-0.002516*L269)*7003*COS(Q269-2*P269)  + (1 - 0.002516*L269)*10056*COS(2*R269-Q269-2*P269) +6322*COS(R269+P269) -(1 - 0.002516*L269)*(1-0.002516*L269)*9884*COS(2*R269-2*Q269) +(1-0.002516*L269)*5751*COS(Q269+2*P269) - (1-0.002516*L269)^2*4950*COS(2*R269-2*Q269-P269)  +4130*COS(2*R269+P269-2*S269) -(1-0.002516*L269)*3958*COS(4*R269-Q269-P269) +3258*COS(3*R269-P269) +(1 - 0.002516*L269)*2616*COS(2*R269+Q269+P269) -(1 - 0.002516*L269)*1897*COS(4*R269-Q269-2*P269)  -(1-0.002516*L269)^2*2117*COS(2*Q269-P269) +(1-0.002516*L269)^2*2354*COS(2*R269+2*Q269-P269) -1423*COS(4*R269+P269) -1117*COS(4*P269) -(1-0.002516*L269)*1571*COS(4*R269-Q269)  -1739*COS(R269-2*P269) -4421*COS(2*P269-2*S269) +(1-0.002516*L269)^2*1165*COS(2*Q269+P269) +8752*COS(2*R269-P269-2*S269))/1000</f>
        <v>391109.124999378</v>
      </c>
      <c r="AV269" s="54" t="n">
        <f aca="false">ATAN(0.99664719*TAN($A$10*input!$E$2))</f>
        <v>0.871010436227447</v>
      </c>
      <c r="AW269" s="54" t="n">
        <f aca="false">COS(AV269)</f>
        <v>0.644053912545845</v>
      </c>
      <c r="AX269" s="54" t="n">
        <f aca="false">0.99664719*SIN(AV269)</f>
        <v>0.762415269897027</v>
      </c>
      <c r="AY269" s="54" t="n">
        <f aca="false">6378.14/AU269</f>
        <v>0.0163078271313924</v>
      </c>
      <c r="AZ269" s="55" t="n">
        <f aca="false">M269-15*AH269</f>
        <v>-154.599238563601</v>
      </c>
      <c r="BA269" s="56" t="n">
        <f aca="false">COS($A$10*AG269)*SIN($A$10*AZ269)</f>
        <v>-0.425435217136847</v>
      </c>
      <c r="BB269" s="56" t="n">
        <f aca="false">COS($A$10*AG269)*COS($A$10*AZ269)-AW269*AY269</f>
        <v>-0.906436877151361</v>
      </c>
      <c r="BC269" s="56" t="n">
        <f aca="false">SIN($A$10*AG269)-AX269*AY269</f>
        <v>0.115267793492111</v>
      </c>
      <c r="BD269" s="57" t="n">
        <f aca="false">SQRT(BA269^2+BB269^2+BC269^2)</f>
        <v>1.00792341001523</v>
      </c>
      <c r="BE269" s="58" t="n">
        <f aca="false">AU269*BD269</f>
        <v>394208.042957446</v>
      </c>
    </row>
    <row r="270" customFormat="false" ht="15" hidden="false" customHeight="false" outlineLevel="0" collapsed="false">
      <c r="D270" s="41" t="n">
        <f aca="false">K270-INT(275*E270/9)+IF($A$8="common year",2,1)*INT((E270+9)/12)+30</f>
        <v>26</v>
      </c>
      <c r="E270" s="41" t="n">
        <f aca="false">IF(K270&lt;32,1,INT(9*(IF($A$8="common year",2,1)+K270)/275+0.98))</f>
        <v>9</v>
      </c>
      <c r="F270" s="42" t="n">
        <f aca="false">AM270</f>
        <v>-37.7117516884117</v>
      </c>
      <c r="G270" s="60" t="n">
        <f aca="false">F270+1.02/(TAN($A$10*(F270+10.3/(F270+5.11)))*60)</f>
        <v>-37.7334890376627</v>
      </c>
      <c r="H270" s="43" t="n">
        <f aca="false">100*(1+COS($A$10*AQ270))/2</f>
        <v>0.0926630585639909</v>
      </c>
      <c r="I270" s="43" t="n">
        <f aca="false">IF(AI270&gt;180,AT270-180,AT270+180)</f>
        <v>18.7040692076685</v>
      </c>
      <c r="J270" s="61" t="n">
        <f aca="false">$J$2+K269</f>
        <v>2459848.5</v>
      </c>
      <c r="K270" s="21" t="n">
        <v>269</v>
      </c>
      <c r="L270" s="62" t="n">
        <f aca="false">(J270-2451545)/36525</f>
        <v>0.227337440109514</v>
      </c>
      <c r="M270" s="63" t="n">
        <f aca="false">MOD(280.46061837+360.98564736629*(J270-2451545)+0.000387933*L270^2-L270^3/38710000+$B$7,360)</f>
        <v>19.7835444076918</v>
      </c>
      <c r="N270" s="30" t="n">
        <f aca="false">0.606433+1336.855225*L270 - INT(0.606433+1336.855225*L270)</f>
        <v>0.523677648528405</v>
      </c>
      <c r="O270" s="35" t="n">
        <f aca="false">22640*SIN(P270)-4586*SIN(P270-2*R270)+2370*SIN(2*R270)+769*SIN(2*P270)-668*SIN(Q270)-412*SIN(2*S270)-212*SIN(2*P270-2*R270)-206*SIN(P270+Q270-2*R270)+192*SIN(P270+2*R270)-165*SIN(Q270-2*R270)-125*SIN(R270)-110*SIN(P270+Q270)+148*SIN(P270-Q270)-55*SIN(2*S270-2*R270)</f>
        <v>-16515.7399588001</v>
      </c>
      <c r="P270" s="32" t="n">
        <f aca="false">2*PI()*(0.374897+1325.55241*L270 - INT(0.374897+1325.55241*L270))</f>
        <v>4.54015820281327</v>
      </c>
      <c r="Q270" s="36" t="n">
        <f aca="false">2*PI()*(0.993133+99.997361*L270 - INT(0.993133+99.997361*L270))</f>
        <v>4.56333339912418</v>
      </c>
      <c r="R270" s="36" t="n">
        <f aca="false">2*PI()*(0.827361+1236.853086*L270 - INT(0.827361+1236.853086*L270))</f>
        <v>0.0651903270552183</v>
      </c>
      <c r="S270" s="36" t="n">
        <f aca="false">2*PI()*(0.259086+1342.227825*L270 - INT(0.259086+1342.227825*L270))</f>
        <v>2.49897220616731</v>
      </c>
      <c r="T270" s="36" t="n">
        <f aca="false">S270+(O270+412*SIN(2*S270)+541*SIN(Q270))/206264.8062</f>
        <v>2.41439133293101</v>
      </c>
      <c r="U270" s="36" t="n">
        <f aca="false">S270-2*R270</f>
        <v>2.36859155205687</v>
      </c>
      <c r="V270" s="34" t="n">
        <f aca="false">-526*SIN(U270)+44*SIN(P270+U270)-31*SIN(-P270+U270)-23*SIN(Q270+U270)+11*SIN(-Q270+U270)-25*SIN(-2*P270+S270)+21*SIN(-P270+S270)</f>
        <v>-350.161215537424</v>
      </c>
      <c r="W270" s="36" t="n">
        <f aca="false">2*PI()*(N270+O270/1296000-INT(N270+O270/1296000))</f>
        <v>3.2102931400753</v>
      </c>
      <c r="X270" s="35" t="n">
        <f aca="false">W270*180/PI()</f>
        <v>183.936247926115</v>
      </c>
      <c r="Y270" s="36" t="n">
        <f aca="false">(18520*SIN(T270)+V270)/206264.8062</f>
        <v>0.0579914372677353</v>
      </c>
      <c r="Z270" s="36" t="n">
        <f aca="false">Y270*180/PI()</f>
        <v>3.32266460333891</v>
      </c>
      <c r="AA270" s="36" t="n">
        <f aca="false">COS(Y270)*COS(W270)</f>
        <v>-0.995963982866206</v>
      </c>
      <c r="AB270" s="36" t="n">
        <f aca="false">COS(Y270)*SIN(W270)</f>
        <v>-0.0685310607323844</v>
      </c>
      <c r="AC270" s="36" t="n">
        <f aca="false">SIN(Y270)</f>
        <v>0.0579589384666239</v>
      </c>
      <c r="AD270" s="36" t="n">
        <f aca="false">COS($A$10*(23.4393-46.815*L270/3600))*AB270-SIN($A$10*(23.4393-46.815*L270/3600))*AC270</f>
        <v>-0.0859294273098757</v>
      </c>
      <c r="AE270" s="36" t="n">
        <f aca="false">SIN($A$10*(23.4393-46.815*L270/3600))*AB270+COS($A$10*(23.4393-46.815*L270/3600))*AC270</f>
        <v>0.0259206164178333</v>
      </c>
      <c r="AF270" s="36" t="n">
        <f aca="false">SQRT(1-AE270*AE270)</f>
        <v>0.99966400437573</v>
      </c>
      <c r="AG270" s="35" t="n">
        <f aca="false">ATAN(AE270/AF270)/$A$10</f>
        <v>1.48530827920674</v>
      </c>
      <c r="AH270" s="36" t="n">
        <f aca="false">IF(24*ATAN(AD270/(AA270+AF270))/PI()&gt;0,24*ATAN(AD270/(AA270+AF270))/PI(),24*ATAN(AD270/(AA270+AF270))/PI()+24)</f>
        <v>12.3287422419328</v>
      </c>
      <c r="AI270" s="63" t="n">
        <f aca="false">IF(M270-15*AH270&gt;0,M270-15*AH270,360+M270-15*AH270)</f>
        <v>194.8524107787</v>
      </c>
      <c r="AJ270" s="32" t="n">
        <f aca="false">0.950724+0.051818*COS(P270)+0.009531*COS(2*R270-P270)+0.007843*COS(2*R270)+0.002824*COS(2*P270)+0.000857*COS(2*R270+P270)+0.000533*COS(2*R270-Q270)*(1-0.002495*(J270-2415020)/36525)+0.000401*COS(2*R270-Q270-P270)*(1-0.002495*(J270-2415020)/36525)+0.00032*COS(P270-Q270)*(1-0.002495*(J270-2415020)/36525)-0.000271*COS(R270)</f>
        <v>0.943627766060966</v>
      </c>
      <c r="AK270" s="36" t="n">
        <f aca="false">ASIN(COS($A$10*$B$5)*COS($A$10*AG270)*COS($A$10*AI270)+SIN($A$10*$B$5)*SIN($A$10*AG270))/$A$10</f>
        <v>-36.9592263872682</v>
      </c>
      <c r="AL270" s="32" t="n">
        <f aca="false">ASIN((0.9983271+0.0016764*COS($A$10*2*$B$5))*COS($A$10*AK270)*SIN($A$10*AJ270))/$A$10</f>
        <v>0.752525301143468</v>
      </c>
      <c r="AM270" s="32" t="n">
        <f aca="false">AK270-AL270</f>
        <v>-37.7117516884117</v>
      </c>
      <c r="AN270" s="35" t="n">
        <f aca="false"> MOD(280.4664567 + 360007.6982779*L270/10 + 0.03032028*L270^2/100 + L270^3/49931000,360)</f>
        <v>184.789326992064</v>
      </c>
      <c r="AO270" s="32" t="n">
        <f aca="false"> AN270 + (1.9146 - 0.004817*L270 - 0.000014*L270^2)*SIN(Q270)+ (0.019993 - 0.000101*L270)*SIN(2*Q270)+ 0.00029*SIN(3*Q270)</f>
        <v>182.90316716639</v>
      </c>
      <c r="AP270" s="32" t="n">
        <f aca="false">ACOS(COS(W270-$A$10*AO270)*COS(Y270))/$A$10</f>
        <v>3.47939064089242</v>
      </c>
      <c r="AQ270" s="34" t="n">
        <f aca="false">180 - AP270 -0.1468*(1-0.0549*SIN(Q270))*SIN($A$10*AP270)/(1-0.0167*SIN($A$10*AO270))</f>
        <v>176.51122438505</v>
      </c>
      <c r="AR270" s="64" t="n">
        <f aca="false">SIN($A$10*AI270)</f>
        <v>-0.256330043597004</v>
      </c>
      <c r="AS270" s="64" t="n">
        <f aca="false">COS($A$10*AI270)*SIN($A$10*$B$5) - TAN($A$10*AG270)*COS($A$10*$B$5)</f>
        <v>-0.75711742659172</v>
      </c>
      <c r="AT270" s="24" t="n">
        <f aca="false">IF(OR(AND(AR270*AS270&gt;0), AND(AR270&lt;0,AS270&gt;0)), MOD(ATAN2(AS270,AR270)/$A$10+360,360),  ATAN2(AS270,AR270)/$A$10)</f>
        <v>198.704069207669</v>
      </c>
      <c r="AU270" s="39" t="n">
        <f aca="false"> 385000.56 + (-20905355*COS(P270) - 3699111*COS(2*R270-P270) - 2955968*COS(2*R270) - 569925*COS(2*P270) + (1-0.002516*L270)*48888*COS(Q270) - 3149*COS(2*S270)  +246158*COS(2*R270-2*P270) -(1 - 0.002516*L270)*152138*COS(2*R270-Q270-P270) -170733*COS(2*R270+P270) -(1 - 0.002516*L270)*204586*COS(2*R270-Q270) -(1 - 0.002516*L270)*129620*COS(Q270-P270)  + 108743*COS(R270) +(1-0.002516*L270)*104755*COS(Q270+P270) +10321*COS(2*R270-2*S270) +79661*COS(P270-2*S270) -34782*COS(4*R270-P270) -23210*COS(3*P270)  -21636*COS(4*R270-2*P270) +(1 - 0.002516*L270)*24208*COS(2*R270+Q270-P270) +(1 - 0.002516*L270)*30824*COS(2*R270+Q270) -8379*COS(R270-P270) -(1 - 0.002516*L270)*16675*COS(R270+Q270)  -(1 - 0.002516*L270)*12831*COS(2*R270-Q270+P270) -10445*COS(2*R270+2*P270) -11650*COS(4*R270) +14403*COS(2*R270-3*P270) -(1-0.002516*L270)*7003*COS(Q270-2*P270)  + (1 - 0.002516*L270)*10056*COS(2*R270-Q270-2*P270) +6322*COS(R270+P270) -(1 - 0.002516*L270)*(1-0.002516*L270)*9884*COS(2*R270-2*Q270) +(1-0.002516*L270)*5751*COS(Q270+2*P270) - (1-0.002516*L270)^2*4950*COS(2*R270-2*Q270-P270)  +4130*COS(2*R270+P270-2*S270) -(1-0.002516*L270)*3958*COS(4*R270-Q270-P270) +3258*COS(3*R270-P270) +(1 - 0.002516*L270)*2616*COS(2*R270+Q270+P270) -(1 - 0.002516*L270)*1897*COS(4*R270-Q270-2*P270)  -(1-0.002516*L270)^2*2117*COS(2*Q270-P270) +(1-0.002516*L270)^2*2354*COS(2*R270+2*Q270-P270) -1423*COS(4*R270+P270) -1117*COS(4*P270) -(1-0.002516*L270)*1571*COS(4*R270-Q270)  -1739*COS(R270-2*P270) -4421*COS(2*P270-2*S270) +(1-0.002516*L270)^2*1165*COS(2*Q270+P270) +8752*COS(2*R270-P270-2*S270))/1000</f>
        <v>387273.313243033</v>
      </c>
      <c r="AV270" s="54" t="n">
        <f aca="false">ATAN(0.99664719*TAN($A$10*input!$E$2))</f>
        <v>0.871010436227447</v>
      </c>
      <c r="AW270" s="54" t="n">
        <f aca="false">COS(AV270)</f>
        <v>0.644053912545845</v>
      </c>
      <c r="AX270" s="54" t="n">
        <f aca="false">0.99664719*SIN(AV270)</f>
        <v>0.762415269897027</v>
      </c>
      <c r="AY270" s="54" t="n">
        <f aca="false">6378.14/AU270</f>
        <v>0.0164693506675927</v>
      </c>
      <c r="AZ270" s="55" t="n">
        <f aca="false">M270-15*AH270</f>
        <v>-165.1475892213</v>
      </c>
      <c r="BA270" s="56" t="n">
        <f aca="false">COS($A$10*AG270)*SIN($A$10*AZ270)</f>
        <v>-0.256243917823986</v>
      </c>
      <c r="BB270" s="56" t="n">
        <f aca="false">COS($A$10*AG270)*COS($A$10*AZ270)-AW270*AY270</f>
        <v>-0.976871697476388</v>
      </c>
      <c r="BC270" s="56" t="n">
        <f aca="false">SIN($A$10*AG270)-AX270*AY270</f>
        <v>0.0133641319835718</v>
      </c>
      <c r="BD270" s="57" t="n">
        <f aca="false">SQRT(BA270^2+BB270^2+BC270^2)</f>
        <v>1.01000884093945</v>
      </c>
      <c r="BE270" s="58" t="n">
        <f aca="false">AU270*BD270</f>
        <v>391149.470235378</v>
      </c>
    </row>
    <row r="271" customFormat="false" ht="15" hidden="false" customHeight="false" outlineLevel="0" collapsed="false">
      <c r="D271" s="41" t="n">
        <f aca="false">K271-INT(275*E271/9)+IF($A$8="common year",2,1)*INT((E271+9)/12)+30</f>
        <v>27</v>
      </c>
      <c r="E271" s="41" t="n">
        <f aca="false">IF(K271&lt;32,1,INT(9*(IF($A$8="common year",2,1)+K271)/275+0.98))</f>
        <v>9</v>
      </c>
      <c r="F271" s="42" t="n">
        <f aca="false">AM271</f>
        <v>-45.0929765967036</v>
      </c>
      <c r="G271" s="60" t="n">
        <f aca="false">F271+1.02/(TAN($A$10*(F271+10.3/(F271+5.11)))*60)</f>
        <v>-45.1097698173242</v>
      </c>
      <c r="H271" s="43" t="n">
        <f aca="false">100*(1+COS($A$10*AQ271))/2</f>
        <v>1.36686018228426</v>
      </c>
      <c r="I271" s="43" t="n">
        <f aca="false">IF(AI271&gt;180,AT271-180,AT271+180)</f>
        <v>5.77435515099813</v>
      </c>
      <c r="J271" s="61" t="n">
        <f aca="false">$J$2+K270</f>
        <v>2459849.5</v>
      </c>
      <c r="K271" s="21" t="n">
        <v>270</v>
      </c>
      <c r="L271" s="62" t="n">
        <f aca="false">(J271-2451545)/36525</f>
        <v>0.227364818617385</v>
      </c>
      <c r="M271" s="63" t="n">
        <f aca="false">MOD(280.46061837+360.98564736629*(J271-2451545)+0.000387933*L271^2-L271^3/38710000+$B$7,360)</f>
        <v>20.7691917791963</v>
      </c>
      <c r="N271" s="30" t="n">
        <f aca="false">0.606433+1336.855225*L271 - INT(0.606433+1336.855225*L271)</f>
        <v>0.560278749828854</v>
      </c>
      <c r="O271" s="35" t="n">
        <f aca="false">22640*SIN(P271)-4586*SIN(P271-2*R271)+2370*SIN(2*R271)+769*SIN(2*P271)-668*SIN(Q271)-412*SIN(2*S271)-212*SIN(2*P271-2*R271)-206*SIN(P271+Q271-2*R271)+192*SIN(P271+2*R271)-165*SIN(Q271-2*R271)-125*SIN(R271)-110*SIN(P271+Q271)+148*SIN(P271-Q271)-55*SIN(2*S271-2*R271)</f>
        <v>-16654.5394980387</v>
      </c>
      <c r="P271" s="32" t="n">
        <f aca="false">2*PI()*(0.374897+1325.55241*L271 - INT(0.374897+1325.55241*L271))</f>
        <v>4.76818534658909</v>
      </c>
      <c r="Q271" s="36" t="n">
        <f aca="false">2*PI()*(0.993133+99.997361*L271 - INT(0.993133+99.997361*L271))</f>
        <v>4.58053536899119</v>
      </c>
      <c r="R271" s="36" t="n">
        <f aca="false">2*PI()*(0.827361+1236.853086*L271 - INT(0.827361+1236.853086*L271))</f>
        <v>0.277959037174243</v>
      </c>
      <c r="S271" s="36" t="n">
        <f aca="false">2*PI()*(0.259086+1342.227825*L271 - INT(0.259086+1342.227825*L271))</f>
        <v>2.72986792550832</v>
      </c>
      <c r="T271" s="36" t="n">
        <f aca="false">S271+(O271+412*SIN(2*S271)+541*SIN(Q271))/206264.8062</f>
        <v>2.6450592578065</v>
      </c>
      <c r="U271" s="36" t="n">
        <f aca="false">S271-2*R271</f>
        <v>2.17394985115983</v>
      </c>
      <c r="V271" s="34" t="n">
        <f aca="false">-526*SIN(U271)+44*SIN(P271+U271)-31*SIN(-P271+U271)-23*SIN(Q271+U271)+11*SIN(-Q271+U271)-25*SIN(-2*P271+S271)+21*SIN(-P271+S271)</f>
        <v>-414.185838813853</v>
      </c>
      <c r="W271" s="36" t="n">
        <f aca="false">2*PI()*(N271+O271/1296000-INT(N271+O271/1296000))</f>
        <v>3.43959172283732</v>
      </c>
      <c r="X271" s="35" t="n">
        <f aca="false">W271*180/PI()</f>
        <v>197.07408896671</v>
      </c>
      <c r="Y271" s="36" t="n">
        <f aca="false">(18520*SIN(T271)+V271)/206264.8062</f>
        <v>0.0407649755063434</v>
      </c>
      <c r="Z271" s="36" t="n">
        <f aca="false">Y271*180/PI()</f>
        <v>2.33566104846765</v>
      </c>
      <c r="AA271" s="36" t="n">
        <f aca="false">COS(Y271)*COS(W271)</f>
        <v>-0.955131730928389</v>
      </c>
      <c r="AB271" s="36" t="n">
        <f aca="false">COS(Y271)*SIN(W271)</f>
        <v>-0.293364131498051</v>
      </c>
      <c r="AC271" s="36" t="n">
        <f aca="false">SIN(Y271)</f>
        <v>0.040753686018987</v>
      </c>
      <c r="AD271" s="36" t="n">
        <f aca="false">COS($A$10*(23.4393-46.815*L271/3600))*AB271-SIN($A$10*(23.4393-46.815*L271/3600))*AC271</f>
        <v>-0.285371293279993</v>
      </c>
      <c r="AE271" s="36" t="n">
        <f aca="false">SIN($A$10*(23.4393-46.815*L271/3600))*AB271+COS($A$10*(23.4393-46.815*L271/3600))*AC271</f>
        <v>-0.0792880920784714</v>
      </c>
      <c r="AF271" s="36" t="n">
        <f aca="false">SQRT(1-AE271*AE271)</f>
        <v>0.996851743467681</v>
      </c>
      <c r="AG271" s="35" t="n">
        <f aca="false">ATAN(AE271/AF271)/$A$10</f>
        <v>-4.54764642999891</v>
      </c>
      <c r="AH271" s="36" t="n">
        <f aca="false">IF(24*ATAN(AD271/(AA271+AF271))/PI()&gt;0,24*ATAN(AD271/(AA271+AF271))/PI(),24*ATAN(AD271/(AA271+AF271))/PI()+24)</f>
        <v>13.1089953464878</v>
      </c>
      <c r="AI271" s="63" t="n">
        <f aca="false">IF(M271-15*AH271&gt;0,M271-15*AH271,360+M271-15*AH271)</f>
        <v>184.134261581879</v>
      </c>
      <c r="AJ271" s="32" t="n">
        <f aca="false">0.950724+0.051818*COS(P271)+0.009531*COS(2*R271-P271)+0.007843*COS(2*R271)+0.002824*COS(2*P271)+0.000857*COS(2*R271+P271)+0.000533*COS(2*R271-Q271)*(1-0.002495*(J271-2415020)/36525)+0.000401*COS(2*R271-Q271-P271)*(1-0.002495*(J271-2415020)/36525)+0.00032*COS(P271-Q271)*(1-0.002495*(J271-2415020)/36525)-0.000271*COS(R271)</f>
        <v>0.952783960963686</v>
      </c>
      <c r="AK271" s="36" t="n">
        <f aca="false">ASIN(COS($A$10*$B$5)*COS($A$10*AG271)*COS($A$10*AI271)+SIN($A$10*$B$5)*SIN($A$10*AG271))/$A$10</f>
        <v>-44.4137505459323</v>
      </c>
      <c r="AL271" s="32" t="n">
        <f aca="false">ASIN((0.9983271+0.0016764*COS($A$10*2*$B$5))*COS($A$10*AK271)*SIN($A$10*AJ271))/$A$10</f>
        <v>0.679226050771252</v>
      </c>
      <c r="AM271" s="32" t="n">
        <f aca="false">AK271-AL271</f>
        <v>-45.0929765967036</v>
      </c>
      <c r="AN271" s="35" t="n">
        <f aca="false"> MOD(280.4664567 + 360007.6982779*L271/10 + 0.03032028*L271^2/100 + L271^3/49931000,360)</f>
        <v>185.774974355943</v>
      </c>
      <c r="AO271" s="32" t="n">
        <f aca="false"> AN271 + (1.9146 - 0.004817*L271 - 0.000014*L271^2)*SIN(Q271)+ (0.019993 - 0.000101*L271)*SIN(2*Q271)+ 0.00029*SIN(3*Q271)</f>
        <v>183.883552728296</v>
      </c>
      <c r="AP271" s="32" t="n">
        <f aca="false">ACOS(COS(W271-$A$10*AO271)*COS(Y271))/$A$10</f>
        <v>13.3921181270756</v>
      </c>
      <c r="AQ271" s="34" t="n">
        <f aca="false">180 - AP271 -0.1468*(1-0.0549*SIN(Q271))*SIN($A$10*AP271)/(1-0.0167*SIN($A$10*AO271))</f>
        <v>166.572070981166</v>
      </c>
      <c r="AR271" s="64" t="n">
        <f aca="false">SIN($A$10*AI271)</f>
        <v>-0.0720938785709589</v>
      </c>
      <c r="AS271" s="64" t="n">
        <f aca="false">COS($A$10*AI271)*SIN($A$10*$B$5) - TAN($A$10*AG271)*COS($A$10*$B$5)</f>
        <v>-0.712924719055588</v>
      </c>
      <c r="AT271" s="24" t="n">
        <f aca="false">IF(OR(AND(AR271*AS271&gt;0), AND(AR271&lt;0,AS271&gt;0)), MOD(ATAN2(AS271,AR271)/$A$10+360,360),  ATAN2(AS271,AR271)/$A$10)</f>
        <v>185.774355150998</v>
      </c>
      <c r="AU271" s="39" t="n">
        <f aca="false"> 385000.56 + (-20905355*COS(P271) - 3699111*COS(2*R271-P271) - 2955968*COS(2*R271) - 569925*COS(2*P271) + (1-0.002516*L271)*48888*COS(Q271) - 3149*COS(2*S271)  +246158*COS(2*R271-2*P271) -(1 - 0.002516*L271)*152138*COS(2*R271-Q271-P271) -170733*COS(2*R271+P271) -(1 - 0.002516*L271)*204586*COS(2*R271-Q271) -(1 - 0.002516*L271)*129620*COS(Q271-P271)  + 108743*COS(R271) +(1-0.002516*L271)*104755*COS(Q271+P271) +10321*COS(2*R271-2*S271) +79661*COS(P271-2*S271) -34782*COS(4*R271-P271) -23210*COS(3*P271)  -21636*COS(4*R271-2*P271) +(1 - 0.002516*L271)*24208*COS(2*R271+Q271-P271) +(1 - 0.002516*L271)*30824*COS(2*R271+Q271) -8379*COS(R271-P271) -(1 - 0.002516*L271)*16675*COS(R271+Q271)  -(1 - 0.002516*L271)*12831*COS(2*R271-Q271+P271) -10445*COS(2*R271+2*P271) -11650*COS(4*R271) +14403*COS(2*R271-3*P271) -(1-0.002516*L271)*7003*COS(Q271-2*P271)  + (1 - 0.002516*L271)*10056*COS(2*R271-Q271-2*P271) +6322*COS(R271+P271) -(1 - 0.002516*L271)*(1-0.002516*L271)*9884*COS(2*R271-2*Q271) +(1-0.002516*L271)*5751*COS(Q271+2*P271) - (1-0.002516*L271)^2*4950*COS(2*R271-2*Q271-P271)  +4130*COS(2*R271+P271-2*S271) -(1-0.002516*L271)*3958*COS(4*R271-Q271-P271) +3258*COS(3*R271-P271) +(1 - 0.002516*L271)*2616*COS(2*R271+Q271+P271) -(1 - 0.002516*L271)*1897*COS(4*R271-Q271-2*P271)  -(1-0.002516*L271)^2*2117*COS(2*Q271-P271) +(1-0.002516*L271)^2*2354*COS(2*R271+2*Q271-P271) -1423*COS(4*R271+P271) -1117*COS(4*P271) -(1-0.002516*L271)*1571*COS(4*R271-Q271)  -1739*COS(R271-2*P271) -4421*COS(2*P271-2*S271) +(1-0.002516*L271)^2*1165*COS(2*Q271+P271) +8752*COS(2*R271-P271-2*S271))/1000</f>
        <v>383608.437555982</v>
      </c>
      <c r="AV271" s="54" t="n">
        <f aca="false">ATAN(0.99664719*TAN($A$10*input!$E$2))</f>
        <v>0.871010436227447</v>
      </c>
      <c r="AW271" s="54" t="n">
        <f aca="false">COS(AV271)</f>
        <v>0.644053912545845</v>
      </c>
      <c r="AX271" s="54" t="n">
        <f aca="false">0.99664719*SIN(AV271)</f>
        <v>0.762415269897027</v>
      </c>
      <c r="AY271" s="54" t="n">
        <f aca="false">6378.14/AU271</f>
        <v>0.0166266937209096</v>
      </c>
      <c r="AZ271" s="55" t="n">
        <f aca="false">M271-15*AH271</f>
        <v>-175.865738418121</v>
      </c>
      <c r="BA271" s="56" t="n">
        <f aca="false">COS($A$10*AG271)*SIN($A$10*AZ271)</f>
        <v>-0.0718669085468066</v>
      </c>
      <c r="BB271" s="56" t="n">
        <f aca="false">COS($A$10*AG271)*COS($A$10*AZ271)-AW271*AY271</f>
        <v>-1.00496627359065</v>
      </c>
      <c r="BC271" s="56" t="n">
        <f aca="false">SIN($A$10*AG271)-AX271*AY271</f>
        <v>-0.0919645372591939</v>
      </c>
      <c r="BD271" s="57" t="n">
        <f aca="false">SQRT(BA271^2+BB271^2+BC271^2)</f>
        <v>1.01172107802104</v>
      </c>
      <c r="BE271" s="58" t="n">
        <f aca="false">AU271*BD271</f>
        <v>388104.741982104</v>
      </c>
    </row>
    <row r="272" customFormat="false" ht="15" hidden="false" customHeight="false" outlineLevel="0" collapsed="false">
      <c r="D272" s="41" t="n">
        <f aca="false">K272-INT(275*E272/9)+IF($A$8="common year",2,1)*INT((E272+9)/12)+30</f>
        <v>28</v>
      </c>
      <c r="E272" s="41" t="n">
        <f aca="false">IF(K272&lt;32,1,INT(9*(IF($A$8="common year",2,1)+K272)/275+0.98))</f>
        <v>9</v>
      </c>
      <c r="F272" s="42" t="n">
        <f aca="false">AM272</f>
        <v>-50.689599705802</v>
      </c>
      <c r="G272" s="60" t="n">
        <f aca="false">F272+1.02/(TAN($A$10*(F272+10.3/(F272+5.11)))*60)</f>
        <v>-50.7034075580209</v>
      </c>
      <c r="H272" s="43" t="n">
        <f aca="false">100*(1+COS($A$10*AQ272))/2</f>
        <v>4.93137162619719</v>
      </c>
      <c r="I272" s="43" t="n">
        <f aca="false">IF(AI272&gt;180,AT272-180,AT272+180)</f>
        <v>349.243210627392</v>
      </c>
      <c r="J272" s="61" t="n">
        <f aca="false">$J$2+K271</f>
        <v>2459850.5</v>
      </c>
      <c r="K272" s="21" t="n">
        <v>271</v>
      </c>
      <c r="L272" s="62" t="n">
        <f aca="false">(J272-2451545)/36525</f>
        <v>0.227392197125257</v>
      </c>
      <c r="M272" s="63" t="n">
        <f aca="false">MOD(280.46061837+360.98564736629*(J272-2451545)+0.000387933*L272^2-L272^3/38710000+$B$7,360)</f>
        <v>21.7548391502351</v>
      </c>
      <c r="N272" s="30" t="n">
        <f aca="false">0.606433+1336.855225*L272 - INT(0.606433+1336.855225*L272)</f>
        <v>0.596879851129359</v>
      </c>
      <c r="O272" s="35" t="n">
        <f aca="false">22640*SIN(P272)-4586*SIN(P272-2*R272)+2370*SIN(2*R272)+769*SIN(2*P272)-668*SIN(Q272)-412*SIN(2*S272)-212*SIN(2*P272-2*R272)-206*SIN(P272+Q272-2*R272)+192*SIN(P272+2*R272)-165*SIN(Q272-2*R272)-125*SIN(R272)-110*SIN(P272+Q272)+148*SIN(P272-Q272)-55*SIN(2*S272-2*R272)</f>
        <v>-16000.0146942457</v>
      </c>
      <c r="P272" s="32" t="n">
        <f aca="false">2*PI()*(0.374897+1325.55241*L272 - INT(0.374897+1325.55241*L272))</f>
        <v>4.99621249036491</v>
      </c>
      <c r="Q272" s="36" t="n">
        <f aca="false">2*PI()*(0.993133+99.997361*L272 - INT(0.993133+99.997361*L272))</f>
        <v>4.59773733885817</v>
      </c>
      <c r="R272" s="36" t="n">
        <f aca="false">2*PI()*(0.827361+1236.853086*L272 - INT(0.827361+1236.853086*L272))</f>
        <v>0.490727747293267</v>
      </c>
      <c r="S272" s="36" t="n">
        <f aca="false">2*PI()*(0.259086+1342.227825*L272 - INT(0.259086+1342.227825*L272))</f>
        <v>2.96076364484932</v>
      </c>
      <c r="T272" s="36" t="n">
        <f aca="false">S272+(O272+412*SIN(2*S272)+541*SIN(Q272))/206264.8062</f>
        <v>2.87988101988228</v>
      </c>
      <c r="U272" s="36" t="n">
        <f aca="false">S272-2*R272</f>
        <v>1.97930815026279</v>
      </c>
      <c r="V272" s="34" t="n">
        <f aca="false">-526*SIN(U272)+44*SIN(P272+U272)-31*SIN(-P272+U272)-23*SIN(Q272+U272)+11*SIN(-Q272+U272)-25*SIN(-2*P272+S272)+21*SIN(-P272+S272)</f>
        <v>-464.693136882639</v>
      </c>
      <c r="W272" s="36" t="n">
        <f aca="false">2*PI()*(N272+O272/1296000-INT(N272+O272/1296000))</f>
        <v>3.67273645055029</v>
      </c>
      <c r="X272" s="35" t="n">
        <f aca="false">W272*180/PI()</f>
        <v>210.43229788039</v>
      </c>
      <c r="Y272" s="36" t="n">
        <f aca="false">(18520*SIN(T272)+V272)/206264.8062</f>
        <v>0.0209782066628134</v>
      </c>
      <c r="Z272" s="36" t="n">
        <f aca="false">Y272*180/PI()</f>
        <v>1.20196270353243</v>
      </c>
      <c r="AA272" s="36" t="n">
        <f aca="false">COS(Y272)*COS(W272)</f>
        <v>-0.862038558774001</v>
      </c>
      <c r="AB272" s="36" t="n">
        <f aca="false">COS(Y272)*SIN(W272)</f>
        <v>-0.50640843455316</v>
      </c>
      <c r="AC272" s="36" t="n">
        <f aca="false">SIN(Y272)</f>
        <v>0.0209766679971166</v>
      </c>
      <c r="AD272" s="36" t="n">
        <f aca="false">COS($A$10*(23.4393-46.815*L272/3600))*AB272-SIN($A$10*(23.4393-46.815*L272/3600))*AC272</f>
        <v>-0.472974068191541</v>
      </c>
      <c r="AE272" s="36" t="n">
        <f aca="false">SIN($A$10*(23.4393-46.815*L272/3600))*AB272+COS($A$10*(23.4393-46.815*L272/3600))*AC272</f>
        <v>-0.182167653564474</v>
      </c>
      <c r="AF272" s="36" t="n">
        <f aca="false">SQRT(1-AE272*AE272)</f>
        <v>0.983267484459246</v>
      </c>
      <c r="AG272" s="35" t="n">
        <f aca="false">ATAN(AE272/AF272)/$A$10</f>
        <v>-10.4960450234207</v>
      </c>
      <c r="AH272" s="36" t="n">
        <f aca="false">IF(24*ATAN(AD272/(AA272+AF272))/PI()&gt;0,24*ATAN(AD272/(AA272+AF272))/PI(),24*ATAN(AD272/(AA272+AF272))/PI()+24)</f>
        <v>13.9168148889015</v>
      </c>
      <c r="AI272" s="63" t="n">
        <f aca="false">IF(M272-15*AH272&gt;0,M272-15*AH272,360+M272-15*AH272)</f>
        <v>173.002615816712</v>
      </c>
      <c r="AJ272" s="32" t="n">
        <f aca="false">0.950724+0.051818*COS(P272)+0.009531*COS(2*R272-P272)+0.007843*COS(2*R272)+0.002824*COS(2*P272)+0.000857*COS(2*R272+P272)+0.000533*COS(2*R272-Q272)*(1-0.002495*(J272-2415020)/36525)+0.000401*COS(2*R272-Q272-P272)*(1-0.002495*(J272-2415020)/36525)+0.00032*COS(P272-Q272)*(1-0.002495*(J272-2415020)/36525)-0.000271*COS(R272)</f>
        <v>0.961214601365289</v>
      </c>
      <c r="AK272" s="36" t="n">
        <f aca="false">ASIN(COS($A$10*$B$5)*COS($A$10*AG272)*COS($A$10*AI272)+SIN($A$10*$B$5)*SIN($A$10*AG272))/$A$10</f>
        <v>-50.0739220263687</v>
      </c>
      <c r="AL272" s="32" t="n">
        <f aca="false">ASIN((0.9983271+0.0016764*COS($A$10*2*$B$5))*COS($A$10*AK272)*SIN($A$10*AJ272))/$A$10</f>
        <v>0.615677679433309</v>
      </c>
      <c r="AM272" s="32" t="n">
        <f aca="false">AK272-AL272</f>
        <v>-50.689599705802</v>
      </c>
      <c r="AN272" s="35" t="n">
        <f aca="false"> MOD(280.4664567 + 360007.6982779*L272/10 + 0.03032028*L272^2/100 + L272^3/49931000,360)</f>
        <v>186.760621719823</v>
      </c>
      <c r="AO272" s="32" t="n">
        <f aca="false"> AN272 + (1.9146 - 0.004817*L272 - 0.000014*L272^2)*SIN(Q272)+ (0.019993 - 0.000101*L272)*SIN(2*Q272)+ 0.00029*SIN(3*Q272)</f>
        <v>184.864492709794</v>
      </c>
      <c r="AP272" s="32" t="n">
        <f aca="false">ACOS(COS(W272-$A$10*AO272)*COS(Y272))/$A$10</f>
        <v>25.5941434465566</v>
      </c>
      <c r="AQ272" s="34" t="n">
        <f aca="false">180 - AP272 -0.1468*(1-0.0549*SIN(Q272))*SIN($A$10*AP272)/(1-0.0167*SIN($A$10*AO272))</f>
        <v>154.339075753047</v>
      </c>
      <c r="AR272" s="64" t="n">
        <f aca="false">SIN($A$10*AI272)</f>
        <v>0.121824028966473</v>
      </c>
      <c r="AS272" s="64" t="n">
        <f aca="false">COS($A$10*AI272)*SIN($A$10*$B$5) - TAN($A$10*AG272)*COS($A$10*$B$5)</f>
        <v>-0.641250977210312</v>
      </c>
      <c r="AT272" s="24" t="n">
        <f aca="false">IF(OR(AND(AR272*AS272&gt;0), AND(AR272&lt;0,AS272&gt;0)), MOD(ATAN2(AS272,AR272)/$A$10+360,360),  ATAN2(AS272,AR272)/$A$10)</f>
        <v>169.243210627392</v>
      </c>
      <c r="AU272" s="39" t="n">
        <f aca="false"> 385000.56 + (-20905355*COS(P272) - 3699111*COS(2*R272-P272) - 2955968*COS(2*R272) - 569925*COS(2*P272) + (1-0.002516*L272)*48888*COS(Q272) - 3149*COS(2*S272)  +246158*COS(2*R272-2*P272) -(1 - 0.002516*L272)*152138*COS(2*R272-Q272-P272) -170733*COS(2*R272+P272) -(1 - 0.002516*L272)*204586*COS(2*R272-Q272) -(1 - 0.002516*L272)*129620*COS(Q272-P272)  + 108743*COS(R272) +(1-0.002516*L272)*104755*COS(Q272+P272) +10321*COS(2*R272-2*S272) +79661*COS(P272-2*S272) -34782*COS(4*R272-P272) -23210*COS(3*P272)  -21636*COS(4*R272-2*P272) +(1 - 0.002516*L272)*24208*COS(2*R272+Q272-P272) +(1 - 0.002516*L272)*30824*COS(2*R272+Q272) -8379*COS(R272-P272) -(1 - 0.002516*L272)*16675*COS(R272+Q272)  -(1 - 0.002516*L272)*12831*COS(2*R272-Q272+P272) -10445*COS(2*R272+2*P272) -11650*COS(4*R272) +14403*COS(2*R272-3*P272) -(1-0.002516*L272)*7003*COS(Q272-2*P272)  + (1 - 0.002516*L272)*10056*COS(2*R272-Q272-2*P272) +6322*COS(R272+P272) -(1 - 0.002516*L272)*(1-0.002516*L272)*9884*COS(2*R272-2*Q272) +(1-0.002516*L272)*5751*COS(Q272+2*P272) - (1-0.002516*L272)^2*4950*COS(2*R272-2*Q272-P272)  +4130*COS(2*R272+P272-2*S272) -(1-0.002516*L272)*3958*COS(4*R272-Q272-P272) +3258*COS(3*R272-P272) +(1 - 0.002516*L272)*2616*COS(2*R272+Q272+P272) -(1 - 0.002516*L272)*1897*COS(4*R272-Q272-2*P272)  -(1-0.002516*L272)^2*2117*COS(2*Q272-P272) +(1-0.002516*L272)^2*2354*COS(2*R272+2*Q272-P272) -1423*COS(4*R272+P272) -1117*COS(4*P272) -(1-0.002516*L272)*1571*COS(4*R272-Q272)  -1739*COS(R272-2*P272) -4421*COS(2*P272-2*S272) +(1-0.002516*L272)^2*1165*COS(2*Q272+P272) +8752*COS(2*R272-P272-2*S272))/1000</f>
        <v>380270.781743827</v>
      </c>
      <c r="AV272" s="54" t="n">
        <f aca="false">ATAN(0.99664719*TAN($A$10*input!$E$2))</f>
        <v>0.871010436227447</v>
      </c>
      <c r="AW272" s="54" t="n">
        <f aca="false">COS(AV272)</f>
        <v>0.644053912545845</v>
      </c>
      <c r="AX272" s="54" t="n">
        <f aca="false">0.99664719*SIN(AV272)</f>
        <v>0.762415269897027</v>
      </c>
      <c r="AY272" s="54" t="n">
        <f aca="false">6378.14/AU272</f>
        <v>0.016772627049471</v>
      </c>
      <c r="AZ272" s="55" t="n">
        <f aca="false">M272-15*AH272</f>
        <v>-186.997384183288</v>
      </c>
      <c r="BA272" s="56" t="n">
        <f aca="false">COS($A$10*AG272)*SIN($A$10*AZ272)</f>
        <v>0.119785606508556</v>
      </c>
      <c r="BB272" s="56" t="n">
        <f aca="false">COS($A$10*AG272)*COS($A$10*AZ272)-AW272*AY272</f>
        <v>-0.98674630359171</v>
      </c>
      <c r="BC272" s="56" t="n">
        <f aca="false">SIN($A$10*AG272)-AX272*AY272</f>
        <v>-0.194955360543279</v>
      </c>
      <c r="BD272" s="57" t="n">
        <f aca="false">SQRT(BA272^2+BB272^2+BC272^2)</f>
        <v>1.01292865088469</v>
      </c>
      <c r="BE272" s="58" t="n">
        <f aca="false">AU272*BD272</f>
        <v>385187.169922643</v>
      </c>
    </row>
    <row r="273" customFormat="false" ht="15" hidden="false" customHeight="false" outlineLevel="0" collapsed="false">
      <c r="D273" s="41" t="n">
        <f aca="false">K273-INT(275*E273/9)+IF($A$8="common year",2,1)*INT((E273+9)/12)+30</f>
        <v>29</v>
      </c>
      <c r="E273" s="41" t="n">
        <f aca="false">IF(K273&lt;32,1,INT(9*(IF($A$8="common year",2,1)+K273)/275+0.98))</f>
        <v>9</v>
      </c>
      <c r="F273" s="42" t="n">
        <f aca="false">AM273</f>
        <v>-53.3959811669077</v>
      </c>
      <c r="G273" s="60" t="n">
        <f aca="false">F273+1.02/(TAN($A$10*(F273+10.3/(F273+5.11)))*60)</f>
        <v>-53.4085103920547</v>
      </c>
      <c r="H273" s="43" t="n">
        <f aca="false">100*(1+COS($A$10*AQ273))/2</f>
        <v>10.7266647010953</v>
      </c>
      <c r="I273" s="43" t="n">
        <f aca="false">IF(AI273&gt;180,AT273-180,AT273+180)</f>
        <v>329.208760591173</v>
      </c>
      <c r="J273" s="61" t="n">
        <f aca="false">$J$2+K272</f>
        <v>2459851.5</v>
      </c>
      <c r="K273" s="21" t="n">
        <v>272</v>
      </c>
      <c r="L273" s="62" t="n">
        <f aca="false">(J273-2451545)/36525</f>
        <v>0.227419575633128</v>
      </c>
      <c r="M273" s="63" t="n">
        <f aca="false">MOD(280.46061837+360.98564736629*(J273-2451545)+0.000387933*L273^2-L273^3/38710000+$B$7,360)</f>
        <v>22.7404865212739</v>
      </c>
      <c r="N273" s="30" t="n">
        <f aca="false">0.606433+1336.855225*L273 - INT(0.606433+1336.855225*L273)</f>
        <v>0.633480952429864</v>
      </c>
      <c r="O273" s="35" t="n">
        <f aca="false">22640*SIN(P273)-4586*SIN(P273-2*R273)+2370*SIN(2*R273)+769*SIN(2*P273)-668*SIN(Q273)-412*SIN(2*S273)-212*SIN(2*P273-2*R273)-206*SIN(P273+Q273-2*R273)+192*SIN(P273+2*R273)-165*SIN(Q273-2*R273)-125*SIN(R273)-110*SIN(P273+Q273)+148*SIN(P273-Q273)-55*SIN(2*S273-2*R273)</f>
        <v>-14639.3111610248</v>
      </c>
      <c r="P273" s="32" t="n">
        <f aca="false">2*PI()*(0.374897+1325.55241*L273 - INT(0.374897+1325.55241*L273))</f>
        <v>5.22423963414073</v>
      </c>
      <c r="Q273" s="36" t="n">
        <f aca="false">2*PI()*(0.993133+99.997361*L273 - INT(0.993133+99.997361*L273))</f>
        <v>4.61493930872516</v>
      </c>
      <c r="R273" s="36" t="n">
        <f aca="false">2*PI()*(0.827361+1236.853086*L273 - INT(0.827361+1236.853086*L273))</f>
        <v>0.703496457412291</v>
      </c>
      <c r="S273" s="36" t="n">
        <f aca="false">2*PI()*(0.259086+1342.227825*L273 - INT(0.259086+1342.227825*L273))</f>
        <v>3.19165936419032</v>
      </c>
      <c r="T273" s="36" t="n">
        <f aca="false">S273+(O273+412*SIN(2*S273)+541*SIN(Q273))/206264.8062</f>
        <v>3.11827525847071</v>
      </c>
      <c r="U273" s="36" t="n">
        <f aca="false">S273-2*R273</f>
        <v>1.78466644936574</v>
      </c>
      <c r="V273" s="34" t="n">
        <f aca="false">-526*SIN(U273)+44*SIN(P273+U273)-31*SIN(-P273+U273)-23*SIN(Q273+U273)+11*SIN(-Q273+U273)-25*SIN(-2*P273+S273)+21*SIN(-P273+S273)</f>
        <v>-498.083823499497</v>
      </c>
      <c r="W273" s="36" t="n">
        <f aca="false">2*PI()*(N273+O273/1296000-INT(N273+O273/1296000))</f>
        <v>3.90930482935661</v>
      </c>
      <c r="X273" s="35" t="n">
        <f aca="false">W273*180/PI()</f>
        <v>223.986667552244</v>
      </c>
      <c r="Y273" s="36" t="n">
        <f aca="false">(18520*SIN(T273)+V273)/206264.8062</f>
        <v>-0.000321357762633476</v>
      </c>
      <c r="Z273" s="36" t="n">
        <f aca="false">Y273*180/PI()</f>
        <v>-0.0184124435126651</v>
      </c>
      <c r="AA273" s="36" t="n">
        <f aca="false">COS(Y273)*COS(W273)</f>
        <v>-0.719501387316801</v>
      </c>
      <c r="AB273" s="36" t="n">
        <f aca="false">COS(Y273)*SIN(W273)</f>
        <v>-0.694490928938881</v>
      </c>
      <c r="AC273" s="36" t="n">
        <f aca="false">SIN(Y273)</f>
        <v>-0.00032135775710233</v>
      </c>
      <c r="AD273" s="36" t="n">
        <f aca="false">COS($A$10*(23.4393-46.815*L273/3600))*AB273-SIN($A$10*(23.4393-46.815*L273/3600))*AC273</f>
        <v>-0.637069371434873</v>
      </c>
      <c r="AE273" s="36" t="n">
        <f aca="false">SIN($A$10*(23.4393-46.815*L273/3600))*AB273+COS($A$10*(23.4393-46.815*L273/3600))*AC273</f>
        <v>-0.276514682483179</v>
      </c>
      <c r="AF273" s="36" t="n">
        <f aca="false">SQRT(1-AE273*AE273)</f>
        <v>0.961009693172356</v>
      </c>
      <c r="AG273" s="35" t="n">
        <f aca="false">ATAN(AE273/AF273)/$A$10</f>
        <v>-16.0522997033831</v>
      </c>
      <c r="AH273" s="36" t="n">
        <f aca="false">IF(24*ATAN(AD273/(AA273+AF273))/PI()&gt;0,24*ATAN(AD273/(AA273+AF273))/PI(),24*ATAN(AD273/(AA273+AF273))/PI()+24)</f>
        <v>14.7681798575062</v>
      </c>
      <c r="AI273" s="63" t="n">
        <f aca="false">IF(M273-15*AH273&gt;0,M273-15*AH273,360+M273-15*AH273)</f>
        <v>161.217788658681</v>
      </c>
      <c r="AJ273" s="32" t="n">
        <f aca="false">0.950724+0.051818*COS(P273)+0.009531*COS(2*R273-P273)+0.007843*COS(2*R273)+0.002824*COS(2*P273)+0.000857*COS(2*R273+P273)+0.000533*COS(2*R273-Q273)*(1-0.002495*(J273-2415020)/36525)+0.000401*COS(2*R273-Q273-P273)*(1-0.002495*(J273-2415020)/36525)+0.00032*COS(P273-Q273)*(1-0.002495*(J273-2415020)/36525)-0.000271*COS(R273)</f>
        <v>0.968588786073047</v>
      </c>
      <c r="AK273" s="36" t="n">
        <f aca="false">ASIN(COS($A$10*$B$5)*COS($A$10*AG273)*COS($A$10*AI273)+SIN($A$10*$B$5)*SIN($A$10*AG273))/$A$10</f>
        <v>-52.81169830864</v>
      </c>
      <c r="AL273" s="32" t="n">
        <f aca="false">ASIN((0.9983271+0.0016764*COS($A$10*2*$B$5))*COS($A$10*AK273)*SIN($A$10*AJ273))/$A$10</f>
        <v>0.584282858267765</v>
      </c>
      <c r="AM273" s="32" t="n">
        <f aca="false">AK273-AL273</f>
        <v>-53.3959811669077</v>
      </c>
      <c r="AN273" s="35" t="n">
        <f aca="false"> MOD(280.4664567 + 360007.6982779*L273/10 + 0.03032028*L273^2/100 + L273^3/49931000,360)</f>
        <v>187.746269083702</v>
      </c>
      <c r="AO273" s="32" t="n">
        <f aca="false"> AN273 + (1.9146 - 0.004817*L273 - 0.000014*L273^2)*SIN(Q273)+ (0.019993 - 0.000101*L273)*SIN(2*Q273)+ 0.00029*SIN(3*Q273)</f>
        <v>185.845989082295</v>
      </c>
      <c r="AP273" s="32" t="n">
        <f aca="false">ACOS(COS(W273-$A$10*AO273)*COS(Y273))/$A$10</f>
        <v>38.1406822375399</v>
      </c>
      <c r="AQ273" s="34" t="n">
        <f aca="false">180 - AP273 -0.1468*(1-0.0549*SIN(Q273))*SIN($A$10*AP273)/(1-0.0167*SIN($A$10*AO273))</f>
        <v>141.763863482599</v>
      </c>
      <c r="AR273" s="64" t="n">
        <f aca="false">SIN($A$10*AI273)</f>
        <v>0.32197177287943</v>
      </c>
      <c r="AS273" s="64" t="n">
        <f aca="false">COS($A$10*AI273)*SIN($A$10*$B$5) - TAN($A$10*AG273)*COS($A$10*$B$5)</f>
        <v>-0.540300487540335</v>
      </c>
      <c r="AT273" s="24" t="n">
        <f aca="false">IF(OR(AND(AR273*AS273&gt;0), AND(AR273&lt;0,AS273&gt;0)), MOD(ATAN2(AS273,AR273)/$A$10+360,360),  ATAN2(AS273,AR273)/$A$10)</f>
        <v>149.208760591173</v>
      </c>
      <c r="AU273" s="39" t="n">
        <f aca="false"> 385000.56 + (-20905355*COS(P273) - 3699111*COS(2*R273-P273) - 2955968*COS(2*R273) - 569925*COS(2*P273) + (1-0.002516*L273)*48888*COS(Q273) - 3149*COS(2*S273)  +246158*COS(2*R273-2*P273) -(1 - 0.002516*L273)*152138*COS(2*R273-Q273-P273) -170733*COS(2*R273+P273) -(1 - 0.002516*L273)*204586*COS(2*R273-Q273) -(1 - 0.002516*L273)*129620*COS(Q273-P273)  + 108743*COS(R273) +(1-0.002516*L273)*104755*COS(Q273+P273) +10321*COS(2*R273-2*S273) +79661*COS(P273-2*S273) -34782*COS(4*R273-P273) -23210*COS(3*P273)  -21636*COS(4*R273-2*P273) +(1 - 0.002516*L273)*24208*COS(2*R273+Q273-P273) +(1 - 0.002516*L273)*30824*COS(2*R273+Q273) -8379*COS(R273-P273) -(1 - 0.002516*L273)*16675*COS(R273+Q273)  -(1 - 0.002516*L273)*12831*COS(2*R273-Q273+P273) -10445*COS(2*R273+2*P273) -11650*COS(4*R273) +14403*COS(2*R273-3*P273) -(1-0.002516*L273)*7003*COS(Q273-2*P273)  + (1 - 0.002516*L273)*10056*COS(2*R273-Q273-2*P273) +6322*COS(R273+P273) -(1 - 0.002516*L273)*(1-0.002516*L273)*9884*COS(2*R273-2*Q273) +(1-0.002516*L273)*5751*COS(Q273+2*P273) - (1-0.002516*L273)^2*4950*COS(2*R273-2*Q273-P273)  +4130*COS(2*R273+P273-2*S273) -(1-0.002516*L273)*3958*COS(4*R273-Q273-P273) +3258*COS(3*R273-P273) +(1 - 0.002516*L273)*2616*COS(2*R273+Q273+P273) -(1 - 0.002516*L273)*1897*COS(4*R273-Q273-2*P273)  -(1-0.002516*L273)^2*2117*COS(2*Q273-P273) +(1-0.002516*L273)^2*2354*COS(2*R273+2*Q273-P273) -1423*COS(4*R273+P273) -1117*COS(4*P273) -(1-0.002516*L273)*1571*COS(4*R273-Q273)  -1739*COS(R273-2*P273) -4421*COS(2*P273-2*S273) +(1-0.002516*L273)^2*1165*COS(2*Q273+P273) +8752*COS(2*R273-P273-2*S273))/1000</f>
        <v>377351.332486199</v>
      </c>
      <c r="AV273" s="54" t="n">
        <f aca="false">ATAN(0.99664719*TAN($A$10*input!$E$2))</f>
        <v>0.871010436227447</v>
      </c>
      <c r="AW273" s="54" t="n">
        <f aca="false">COS(AV273)</f>
        <v>0.644053912545845</v>
      </c>
      <c r="AX273" s="54" t="n">
        <f aca="false">0.99664719*SIN(AV273)</f>
        <v>0.762415269897027</v>
      </c>
      <c r="AY273" s="54" t="n">
        <f aca="false">6378.14/AU273</f>
        <v>0.016902391619972</v>
      </c>
      <c r="AZ273" s="55" t="n">
        <f aca="false">M273-15*AH273</f>
        <v>-198.782211341319</v>
      </c>
      <c r="BA273" s="56" t="n">
        <f aca="false">COS($A$10*AG273)*SIN($A$10*AZ273)</f>
        <v>0.309417994665022</v>
      </c>
      <c r="BB273" s="56" t="n">
        <f aca="false">COS($A$10*AG273)*COS($A$10*AZ273)-AW273*AY273</f>
        <v>-0.920721275518837</v>
      </c>
      <c r="BC273" s="56" t="n">
        <f aca="false">SIN($A$10*AG273)-AX273*AY273</f>
        <v>-0.289401323952026</v>
      </c>
      <c r="BD273" s="57" t="n">
        <f aca="false">SQRT(BA273^2+BB273^2+BC273^2)</f>
        <v>1.01351876594405</v>
      </c>
      <c r="BE273" s="58" t="n">
        <f aca="false">AU273*BD273</f>
        <v>382452.656828754</v>
      </c>
    </row>
    <row r="274" customFormat="false" ht="15" hidden="false" customHeight="false" outlineLevel="0" collapsed="false">
      <c r="D274" s="41" t="n">
        <f aca="false">K274-INT(275*E274/9)+IF($A$8="common year",2,1)*INT((E274+9)/12)+30</f>
        <v>30</v>
      </c>
      <c r="E274" s="41" t="n">
        <f aca="false">IF(K274&lt;32,1,INT(9*(IF($A$8="common year",2,1)+K274)/275+0.98))</f>
        <v>9</v>
      </c>
      <c r="F274" s="42" t="n">
        <f aca="false">AM274</f>
        <v>-52.3663255005632</v>
      </c>
      <c r="G274" s="60" t="n">
        <f aca="false">F274+1.02/(TAN($A$10*(F274+10.3/(F274+5.11)))*60)</f>
        <v>-52.3793303715205</v>
      </c>
      <c r="H274" s="43" t="n">
        <f aca="false">100*(1+COS($A$10*AQ274))/2</f>
        <v>18.5431527450829</v>
      </c>
      <c r="I274" s="43" t="n">
        <f aca="false">IF(AI274&gt;180,AT274-180,AT274+180)</f>
        <v>308.100486339201</v>
      </c>
      <c r="J274" s="61" t="n">
        <f aca="false">$J$2+K273</f>
        <v>2459852.5</v>
      </c>
      <c r="K274" s="21" t="n">
        <v>273</v>
      </c>
      <c r="L274" s="62" t="n">
        <f aca="false">(J274-2451545)/36525</f>
        <v>0.227446954140999</v>
      </c>
      <c r="M274" s="63" t="n">
        <f aca="false">MOD(280.46061837+360.98564736629*(J274-2451545)+0.000387933*L274^2-L274^3/38710000+$B$7,360)</f>
        <v>23.7261338923126</v>
      </c>
      <c r="N274" s="30" t="n">
        <f aca="false">0.606433+1336.855225*L274 - INT(0.606433+1336.855225*L274)</f>
        <v>0.670082053730312</v>
      </c>
      <c r="O274" s="35" t="n">
        <f aca="false">22640*SIN(P274)-4586*SIN(P274-2*R274)+2370*SIN(2*R274)+769*SIN(2*P274)-668*SIN(Q274)-412*SIN(2*S274)-212*SIN(2*P274-2*R274)-206*SIN(P274+Q274-2*R274)+192*SIN(P274+2*R274)-165*SIN(Q274-2*R274)-125*SIN(R274)-110*SIN(P274+Q274)+148*SIN(P274-Q274)-55*SIN(2*S274-2*R274)</f>
        <v>-12668.5804292383</v>
      </c>
      <c r="P274" s="32" t="n">
        <f aca="false">2*PI()*(0.374897+1325.55241*L274 - INT(0.374897+1325.55241*L274))</f>
        <v>5.45226677791619</v>
      </c>
      <c r="Q274" s="36" t="n">
        <f aca="false">2*PI()*(0.993133+99.997361*L274 - INT(0.993133+99.997361*L274))</f>
        <v>4.63214127859214</v>
      </c>
      <c r="R274" s="36" t="n">
        <f aca="false">2*PI()*(0.827361+1236.853086*L274 - INT(0.827361+1236.853086*L274))</f>
        <v>0.916265167530958</v>
      </c>
      <c r="S274" s="36" t="n">
        <f aca="false">2*PI()*(0.259086+1342.227825*L274 - INT(0.259086+1342.227825*L274))</f>
        <v>3.42255508353097</v>
      </c>
      <c r="T274" s="36" t="n">
        <f aca="false">S274+(O274+412*SIN(2*S274)+541*SIN(Q274))/206264.8062</f>
        <v>3.3595859350409</v>
      </c>
      <c r="U274" s="36" t="n">
        <f aca="false">S274-2*R274</f>
        <v>1.59002474846905</v>
      </c>
      <c r="V274" s="34" t="n">
        <f aca="false">-526*SIN(U274)+44*SIN(P274+U274)-31*SIN(-P274+U274)-23*SIN(Q274+U274)+11*SIN(-Q274+U274)-25*SIN(-2*P274+S274)+21*SIN(-P274+S274)</f>
        <v>-511.301828632267</v>
      </c>
      <c r="W274" s="36" t="n">
        <f aca="false">2*PI()*(N274+O274/1296000-INT(N274+O274/1296000))</f>
        <v>4.1488307034797</v>
      </c>
      <c r="X274" s="35" t="n">
        <f aca="false">W274*180/PI()</f>
        <v>237.710489223679</v>
      </c>
      <c r="Y274" s="36" t="n">
        <f aca="false">(18520*SIN(T274)+V274)/206264.8062</f>
        <v>-0.0218972773300123</v>
      </c>
      <c r="Z274" s="36" t="n">
        <f aca="false">Y274*180/PI()</f>
        <v>-1.2546215738372</v>
      </c>
      <c r="AA274" s="36" t="n">
        <f aca="false">COS(Y274)*COS(W274)</f>
        <v>-0.534069530806586</v>
      </c>
      <c r="AB274" s="36" t="n">
        <f aca="false">COS(Y274)*SIN(W274)</f>
        <v>-0.84515698076854</v>
      </c>
      <c r="AC274" s="36" t="n">
        <f aca="false">SIN(Y274)</f>
        <v>-0.0218955274482942</v>
      </c>
      <c r="AD274" s="36" t="n">
        <f aca="false">COS($A$10*(23.4393-46.815*L274/3600))*AB274-SIN($A$10*(23.4393-46.815*L274/3600))*AC274</f>
        <v>-0.766725164303143</v>
      </c>
      <c r="AE274" s="36" t="n">
        <f aca="false">SIN($A$10*(23.4393-46.815*L274/3600))*AB274+COS($A$10*(23.4393-46.815*L274/3600))*AC274</f>
        <v>-0.356233432861588</v>
      </c>
      <c r="AF274" s="36" t="n">
        <f aca="false">SQRT(1-AE274*AE274)</f>
        <v>0.934396993419632</v>
      </c>
      <c r="AG274" s="35" t="n">
        <f aca="false">ATAN(AE274/AF274)/$A$10</f>
        <v>-20.8690575777383</v>
      </c>
      <c r="AH274" s="36" t="n">
        <f aca="false">IF(24*ATAN(AD274/(AA274+AF274))/PI()&gt;0,24*ATAN(AD274/(AA274+AF274))/PI(),24*ATAN(AD274/(AA274+AF274))/PI()+24)</f>
        <v>15.6760334356353</v>
      </c>
      <c r="AI274" s="63" t="n">
        <f aca="false">IF(M274-15*AH274&gt;0,M274-15*AH274,360+M274-15*AH274)</f>
        <v>148.585632357783</v>
      </c>
      <c r="AJ274" s="32" t="n">
        <f aca="false">0.950724+0.051818*COS(P274)+0.009531*COS(2*R274-P274)+0.007843*COS(2*R274)+0.002824*COS(2*P274)+0.000857*COS(2*R274+P274)+0.000533*COS(2*R274-Q274)*(1-0.002495*(J274-2415020)/36525)+0.000401*COS(2*R274-Q274-P274)*(1-0.002495*(J274-2415020)/36525)+0.00032*COS(P274-Q274)*(1-0.002495*(J274-2415020)/36525)-0.000271*COS(R274)</f>
        <v>0.974770311419646</v>
      </c>
      <c r="AK274" s="36" t="n">
        <f aca="false">ASIN(COS($A$10*$B$5)*COS($A$10*AG274)*COS($A$10*AI274)+SIN($A$10*$B$5)*SIN($A$10*AG274))/$A$10</f>
        <v>-51.7642442449463</v>
      </c>
      <c r="AL274" s="32" t="n">
        <f aca="false">ASIN((0.9983271+0.0016764*COS($A$10*2*$B$5))*COS($A$10*AK274)*SIN($A$10*AJ274))/$A$10</f>
        <v>0.602081255616873</v>
      </c>
      <c r="AM274" s="32" t="n">
        <f aca="false">AK274-AL274</f>
        <v>-52.3663255005632</v>
      </c>
      <c r="AN274" s="35" t="n">
        <f aca="false"> MOD(280.4664567 + 360007.6982779*L274/10 + 0.03032028*L274^2/100 + L274^3/49931000,360)</f>
        <v>188.731916447581</v>
      </c>
      <c r="AO274" s="32" t="n">
        <f aca="false"> AN274 + (1.9146 - 0.004817*L274 - 0.000014*L274^2)*SIN(Q274)+ (0.019993 - 0.000101*L274)*SIN(2*Q274)+ 0.00029*SIN(3*Q274)</f>
        <v>186.828043659064</v>
      </c>
      <c r="AP274" s="32" t="n">
        <f aca="false">ACOS(COS(W274-$A$10*AO274)*COS(Y274))/$A$10</f>
        <v>50.893614491064</v>
      </c>
      <c r="AQ274" s="34" t="n">
        <f aca="false">180 - AP274 -0.1468*(1-0.0549*SIN(Q274))*SIN($A$10*AP274)/(1-0.0167*SIN($A$10*AO274))</f>
        <v>128.986476575777</v>
      </c>
      <c r="AR274" s="64" t="n">
        <f aca="false">SIN($A$10*AI274)</f>
        <v>0.521223654127739</v>
      </c>
      <c r="AS274" s="64" t="n">
        <f aca="false">COS($A$10*AI274)*SIN($A$10*$B$5) - TAN($A$10*AG274)*COS($A$10*$B$5)</f>
        <v>-0.408698694013627</v>
      </c>
      <c r="AT274" s="24" t="n">
        <f aca="false">IF(OR(AND(AR274*AS274&gt;0), AND(AR274&lt;0,AS274&gt;0)), MOD(ATAN2(AS274,AR274)/$A$10+360,360),  ATAN2(AS274,AR274)/$A$10)</f>
        <v>128.100486339201</v>
      </c>
      <c r="AU274" s="39" t="n">
        <f aca="false"> 385000.56 + (-20905355*COS(P274) - 3699111*COS(2*R274-P274) - 2955968*COS(2*R274) - 569925*COS(2*P274) + (1-0.002516*L274)*48888*COS(Q274) - 3149*COS(2*S274)  +246158*COS(2*R274-2*P274) -(1 - 0.002516*L274)*152138*COS(2*R274-Q274-P274) -170733*COS(2*R274+P274) -(1 - 0.002516*L274)*204586*COS(2*R274-Q274) -(1 - 0.002516*L274)*129620*COS(Q274-P274)  + 108743*COS(R274) +(1-0.002516*L274)*104755*COS(Q274+P274) +10321*COS(2*R274-2*S274) +79661*COS(P274-2*S274) -34782*COS(4*R274-P274) -23210*COS(3*P274)  -21636*COS(4*R274-2*P274) +(1 - 0.002516*L274)*24208*COS(2*R274+Q274-P274) +(1 - 0.002516*L274)*30824*COS(2*R274+Q274) -8379*COS(R274-P274) -(1 - 0.002516*L274)*16675*COS(R274+Q274)  -(1 - 0.002516*L274)*12831*COS(2*R274-Q274+P274) -10445*COS(2*R274+2*P274) -11650*COS(4*R274) +14403*COS(2*R274-3*P274) -(1-0.002516*L274)*7003*COS(Q274-2*P274)  + (1 - 0.002516*L274)*10056*COS(2*R274-Q274-2*P274) +6322*COS(R274+P274) -(1 - 0.002516*L274)*(1-0.002516*L274)*9884*COS(2*R274-2*Q274) +(1-0.002516*L274)*5751*COS(Q274+2*P274) - (1-0.002516*L274)^2*4950*COS(2*R274-2*Q274-P274)  +4130*COS(2*R274+P274-2*S274) -(1-0.002516*L274)*3958*COS(4*R274-Q274-P274) +3258*COS(3*R274-P274) +(1 - 0.002516*L274)*2616*COS(2*R274+Q274+P274) -(1 - 0.002516*L274)*1897*COS(4*R274-Q274-2*P274)  -(1-0.002516*L274)^2*2117*COS(2*Q274-P274) +(1-0.002516*L274)^2*2354*COS(2*R274+2*Q274-P274) -1423*COS(4*R274+P274) -1117*COS(4*P274) -(1-0.002516*L274)*1571*COS(4*R274-Q274)  -1739*COS(R274-2*P274) -4421*COS(2*P274-2*S274) +(1-0.002516*L274)^2*1165*COS(2*Q274+P274) +8752*COS(2*R274-P274-2*S274))/1000</f>
        <v>374883.563829968</v>
      </c>
      <c r="AV274" s="54" t="n">
        <f aca="false">ATAN(0.99664719*TAN($A$10*input!$E$2))</f>
        <v>0.871010436227447</v>
      </c>
      <c r="AW274" s="54" t="n">
        <f aca="false">COS(AV274)</f>
        <v>0.644053912545845</v>
      </c>
      <c r="AX274" s="54" t="n">
        <f aca="false">0.99664719*SIN(AV274)</f>
        <v>0.762415269897027</v>
      </c>
      <c r="AY274" s="54" t="n">
        <f aca="false">6378.14/AU274</f>
        <v>0.0170136560131851</v>
      </c>
      <c r="AZ274" s="55" t="n">
        <f aca="false">M274-15*AH274</f>
        <v>-211.414367642217</v>
      </c>
      <c r="BA274" s="56" t="n">
        <f aca="false">COS($A$10*AG274)*SIN($A$10*AZ274)</f>
        <v>0.487029815316155</v>
      </c>
      <c r="BB274" s="56" t="n">
        <f aca="false">COS($A$10*AG274)*COS($A$10*AZ274)-AW274*AY274</f>
        <v>-0.808390906607166</v>
      </c>
      <c r="BC274" s="56" t="n">
        <f aca="false">SIN($A$10*AG274)-AX274*AY274</f>
        <v>-0.369204904002815</v>
      </c>
      <c r="BD274" s="57" t="n">
        <f aca="false">SQRT(BA274^2+BB274^2+BC274^2)</f>
        <v>1.01341312406726</v>
      </c>
      <c r="BE274" s="58" t="n">
        <f aca="false">AU274*BD274</f>
        <v>379911.923582397</v>
      </c>
    </row>
    <row r="275" customFormat="false" ht="15" hidden="false" customHeight="false" outlineLevel="0" collapsed="false">
      <c r="A275" s="11"/>
      <c r="B275" s="69"/>
      <c r="C275" s="69"/>
      <c r="D275" s="70" t="n">
        <f aca="false">K275-INT(275*E275/9)+IF($A$8="common year",2,1)*INT((E275+9)/12)+30</f>
        <v>1</v>
      </c>
      <c r="E275" s="70" t="n">
        <f aca="false">IF(K275&lt;32,1,INT(9*(IF($A$8="common year",2,1)+K275)/275+0.98))</f>
        <v>10</v>
      </c>
      <c r="F275" s="42" t="n">
        <f aca="false">AM275</f>
        <v>-47.7322468335264</v>
      </c>
      <c r="G275" s="60" t="n">
        <f aca="false">F275+1.02/(TAN($A$10*(F275+10.3/(F275+5.11)))*60)</f>
        <v>-47.7475677278429</v>
      </c>
      <c r="H275" s="43" t="n">
        <f aca="false">100*(1+COS($A$10*AQ275))/2</f>
        <v>28.028612505352</v>
      </c>
      <c r="I275" s="43" t="n">
        <f aca="false">IF(AI275&gt;180,AT275-180,AT275+180)</f>
        <v>289.329946836831</v>
      </c>
      <c r="J275" s="44" t="n">
        <f aca="false">$J$2+K274</f>
        <v>2459853.5</v>
      </c>
      <c r="K275" s="11" t="n">
        <v>274</v>
      </c>
      <c r="L275" s="45" t="n">
        <f aca="false">(J275-2451545)/36525</f>
        <v>0.227474332648871</v>
      </c>
      <c r="M275" s="46" t="n">
        <f aca="false">MOD(280.46061837+360.98564736629*(J275-2451545)+0.000387933*L275^2-L275^3/38710000+$B$7,360)</f>
        <v>24.7117812633514</v>
      </c>
      <c r="N275" s="47" t="n">
        <f aca="false">0.606433+1336.855225*L275 - INT(0.606433+1336.855225*L275)</f>
        <v>0.70668315503076</v>
      </c>
      <c r="O275" s="46" t="n">
        <f aca="false">22640*SIN(P275)-4586*SIN(P275-2*R275)+2370*SIN(2*R275)+769*SIN(2*P275)-668*SIN(Q275)-412*SIN(2*S275)-212*SIN(2*P275-2*R275)-206*SIN(P275+Q275-2*R275)+192*SIN(P275+2*R275)-165*SIN(Q275-2*R275)-125*SIN(R275)-110*SIN(P275+Q275)+148*SIN(P275-Q275)-55*SIN(2*S275-2*R275)</f>
        <v>-10176.0004716077</v>
      </c>
      <c r="P275" s="48" t="n">
        <f aca="false">2*PI()*(0.374897+1325.55241*L275 - INT(0.374897+1325.55241*L275))</f>
        <v>5.680293921692</v>
      </c>
      <c r="Q275" s="51" t="n">
        <f aca="false">2*PI()*(0.993133+99.997361*L275 - INT(0.993133+99.997361*L275))</f>
        <v>4.64934324845913</v>
      </c>
      <c r="R275" s="51" t="n">
        <f aca="false">2*PI()*(0.827361+1236.853086*L275 - INT(0.827361+1236.853086*L275))</f>
        <v>1.12903387764998</v>
      </c>
      <c r="S275" s="51" t="n">
        <f aca="false">2*PI()*(0.259086+1342.227825*L275 - INT(0.259086+1342.227825*L275))</f>
        <v>3.65345080287198</v>
      </c>
      <c r="T275" s="51" t="n">
        <f aca="false">S275+(O275+412*SIN(2*S275)+541*SIN(Q275))/206264.8062</f>
        <v>3.60320443058725</v>
      </c>
      <c r="U275" s="51" t="n">
        <f aca="false">S275-2*R275</f>
        <v>1.39538304757201</v>
      </c>
      <c r="V275" s="50" t="n">
        <f aca="false">-526*SIN(U275)+44*SIN(P275+U275)-31*SIN(-P275+U275)-23*SIN(Q275+U275)+11*SIN(-Q275+U275)-25*SIN(-2*P275+S275)+21*SIN(-P275+S275)</f>
        <v>-502.262791958723</v>
      </c>
      <c r="W275" s="51" t="n">
        <f aca="false">2*PI()*(N275+O275/1296000-INT(N275+O275/1296000))</f>
        <v>4.39088657404446</v>
      </c>
      <c r="X275" s="46" t="n">
        <f aca="false">W275*180/PI()</f>
        <v>251.579269013405</v>
      </c>
      <c r="Y275" s="51" t="n">
        <f aca="false">(18520*SIN(T275)+V275)/206264.8062</f>
        <v>-0.0424256491868686</v>
      </c>
      <c r="Z275" s="51" t="n">
        <f aca="false">Y275*180/PI()</f>
        <v>-2.4308106415102</v>
      </c>
      <c r="AA275" s="51" t="n">
        <f aca="false">COS(Y275)*COS(W275)</f>
        <v>-0.315708002069416</v>
      </c>
      <c r="AB275" s="51" t="n">
        <f aca="false">COS(Y275)*SIN(W275)</f>
        <v>-0.947908013144801</v>
      </c>
      <c r="AC275" s="51" t="n">
        <f aca="false">SIN(Y275)</f>
        <v>-0.0424129230920726</v>
      </c>
      <c r="AD275" s="51" t="n">
        <f aca="false">COS($A$10*(23.4393-46.815*L275/3600))*AB275-SIN($A$10*(23.4393-46.815*L275/3600))*AC275</f>
        <v>-0.85283911697246</v>
      </c>
      <c r="AE275" s="51" t="n">
        <f aca="false">SIN($A$10*(23.4393-46.815*L275/3600))*AB275+COS($A$10*(23.4393-46.815*L275/3600))*AC275</f>
        <v>-0.415925351464626</v>
      </c>
      <c r="AF275" s="51" t="n">
        <f aca="false">SQRT(1-AE275*AE275)</f>
        <v>0.909398758526218</v>
      </c>
      <c r="AG275" s="46" t="n">
        <f aca="false">ATAN(AE275/AF275)/$A$10</f>
        <v>-24.5776037976963</v>
      </c>
      <c r="AH275" s="51" t="n">
        <f aca="false">IF(24*ATAN(AD275/(AA275+AF275))/PI()&gt;0,24*ATAN(AD275/(AA275+AF275))/PI(),24*ATAN(AD275/(AA275+AF275))/PI()+24)</f>
        <v>16.6457478707061</v>
      </c>
      <c r="AI275" s="46" t="n">
        <f aca="false">IF(M275-15*AH275&gt;0,M275-15*AH275,360+M275-15*AH275)</f>
        <v>135.025563202761</v>
      </c>
      <c r="AJ275" s="48" t="n">
        <f aca="false">0.950724+0.051818*COS(P275)+0.009531*COS(2*R275-P275)+0.007843*COS(2*R275)+0.002824*COS(2*P275)+0.000857*COS(2*R275+P275)+0.000533*COS(2*R275-Q275)*(1-0.002495*(J275-2415020)/36525)+0.000401*COS(2*R275-Q275-P275)*(1-0.002495*(J275-2415020)/36525)+0.00032*COS(P275-Q275)*(1-0.002495*(J275-2415020)/36525)-0.000271*COS(R275)</f>
        <v>0.979781444460921</v>
      </c>
      <c r="AK275" s="51" t="n">
        <f aca="false">ASIN(COS($A$10*$B$5)*COS($A$10*AG275)*COS($A$10*AI275)+SIN($A$10*$B$5)*SIN($A$10*AG275))/$A$10</f>
        <v>-47.0661939924865</v>
      </c>
      <c r="AL275" s="48" t="n">
        <f aca="false">ASIN((0.9983271+0.0016764*COS($A$10*2*$B$5))*COS($A$10*AK275)*SIN($A$10*AJ275))/$A$10</f>
        <v>0.66605284103996</v>
      </c>
      <c r="AM275" s="48" t="n">
        <f aca="false">AK275-AL275</f>
        <v>-47.7322468335264</v>
      </c>
      <c r="AN275" s="46" t="n">
        <f aca="false"> MOD(280.4664567 + 360007.6982779*L275/10 + 0.03032028*L275^2/100 + L275^3/49931000,360)</f>
        <v>189.717563811462</v>
      </c>
      <c r="AO275" s="48" t="n">
        <f aca="false"> AN275 + (1.9146 - 0.004817*L275 - 0.000014*L275^2)*SIN(Q275)+ (0.019993 - 0.000101*L275)*SIN(2*Q275)+ 0.00029*SIN(3*Q275)</f>
        <v>187.810658094007</v>
      </c>
      <c r="AP275" s="48" t="n">
        <f aca="false">ACOS(COS(W275-$A$10*AO275)*COS(Y275))/$A$10</f>
        <v>63.7940122439232</v>
      </c>
      <c r="AQ275" s="50" t="n">
        <f aca="false">180 - AP275 -0.1468*(1-0.0549*SIN(Q275))*SIN($A$10*AP275)/(1-0.0167*SIN($A$10*AO275))</f>
        <v>116.06737503233</v>
      </c>
      <c r="AR275" s="44" t="n">
        <f aca="false">SIN($A$10*AI275)</f>
        <v>0.7067912266035</v>
      </c>
      <c r="AS275" s="44" t="n">
        <f aca="false">COS($A$10*AI275)*SIN($A$10*$B$5) - TAN($A$10*AG275)*COS($A$10*$B$5)</f>
        <v>-0.247929566902882</v>
      </c>
      <c r="AT275" s="71" t="n">
        <f aca="false">IF(OR(AND(AR275*AS275&gt;0), AND(AR275&lt;0,AS275&gt;0)), MOD(ATAN2(AS275,AR275)/$A$10+360,360),  ATAN2(AS275,AR275)/$A$10)</f>
        <v>109.329946836831</v>
      </c>
      <c r="AU275" s="39" t="n">
        <f aca="false"> 385000.56 + (-20905355*COS(P275) - 3699111*COS(2*R275-P275) - 2955968*COS(2*R275) - 569925*COS(2*P275) + (1-0.002516*L275)*48888*COS(Q275) - 3149*COS(2*S275)  +246158*COS(2*R275-2*P275) -(1 - 0.002516*L275)*152138*COS(2*R275-Q275-P275) -170733*COS(2*R275+P275) -(1 - 0.002516*L275)*204586*COS(2*R275-Q275) -(1 - 0.002516*L275)*129620*COS(Q275-P275)  + 108743*COS(R275) +(1-0.002516*L275)*104755*COS(Q275+P275) +10321*COS(2*R275-2*S275) +79661*COS(P275-2*S275) -34782*COS(4*R275-P275) -23210*COS(3*P275)  -21636*COS(4*R275-2*P275) +(1 - 0.002516*L275)*24208*COS(2*R275+Q275-P275) +(1 - 0.002516*L275)*30824*COS(2*R275+Q275) -8379*COS(R275-P275) -(1 - 0.002516*L275)*16675*COS(R275+Q275)  -(1 - 0.002516*L275)*12831*COS(2*R275-Q275+P275) -10445*COS(2*R275+2*P275) -11650*COS(4*R275) +14403*COS(2*R275-3*P275) -(1-0.002516*L275)*7003*COS(Q275-2*P275)  + (1 - 0.002516*L275)*10056*COS(2*R275-Q275-2*P275) +6322*COS(R275+P275) -(1 - 0.002516*L275)*(1-0.002516*L275)*9884*COS(2*R275-2*Q275) +(1-0.002516*L275)*5751*COS(Q275+2*P275) - (1-0.002516*L275)^2*4950*COS(2*R275-2*Q275-P275)  +4130*COS(2*R275+P275-2*S275) -(1-0.002516*L275)*3958*COS(4*R275-Q275-P275) +3258*COS(3*R275-P275) +(1 - 0.002516*L275)*2616*COS(2*R275+Q275+P275) -(1 - 0.002516*L275)*1897*COS(4*R275-Q275-2*P275)  -(1-0.002516*L275)^2*2117*COS(2*Q275-P275) +(1-0.002516*L275)^2*2354*COS(2*R275+2*Q275-P275) -1423*COS(4*R275+P275) -1117*COS(4*P275) -(1-0.002516*L275)*1571*COS(4*R275-Q275)  -1739*COS(R275-2*P275) -4421*COS(2*P275-2*S275) +(1-0.002516*L275)^2*1165*COS(2*Q275+P275) +8752*COS(2*R275-P275-2*S275))/1000</f>
        <v>372864.083191009</v>
      </c>
      <c r="AV275" s="72" t="n">
        <f aca="false">ATAN(0.99664719*TAN($A$10*input!$E$2))</f>
        <v>0.871010436227447</v>
      </c>
      <c r="AW275" s="72" t="n">
        <f aca="false">COS(AV275)</f>
        <v>0.644053912545845</v>
      </c>
      <c r="AX275" s="72" t="n">
        <f aca="false">0.99664719*SIN(AV275)</f>
        <v>0.762415269897027</v>
      </c>
      <c r="AY275" s="72" t="n">
        <f aca="false">6378.14/AU275</f>
        <v>0.0171058041992547</v>
      </c>
      <c r="AZ275" s="73" t="n">
        <f aca="false">M275-15*AH275</f>
        <v>-224.974436797239</v>
      </c>
      <c r="BA275" s="74" t="n">
        <f aca="false">COS($A$10*AG275)*SIN($A$10*AZ275)</f>
        <v>0.642755064010447</v>
      </c>
      <c r="BB275" s="74" t="n">
        <f aca="false">COS($A$10*AG275)*COS($A$10*AZ275)-AW275*AY275</f>
        <v>-0.654345926020043</v>
      </c>
      <c r="BC275" s="74" t="n">
        <f aca="false">SIN($A$10*AG275)-AX275*AY275</f>
        <v>-0.428967077790006</v>
      </c>
      <c r="BD275" s="75" t="n">
        <f aca="false">SQRT(BA275^2+BB275^2+BC275^2)</f>
        <v>1.01257859795563</v>
      </c>
      <c r="BE275" s="58" t="n">
        <f aca="false">AU275*BD275</f>
        <v>377554.190585565</v>
      </c>
      <c r="BH275" s="69"/>
      <c r="BI275" s="69"/>
      <c r="BJ275" s="69"/>
      <c r="BK275" s="69"/>
      <c r="BL275" s="69"/>
    </row>
    <row r="276" customFormat="false" ht="15" hidden="false" customHeight="false" outlineLevel="0" collapsed="false">
      <c r="D276" s="41" t="n">
        <f aca="false">K276-INT(275*E276/9)+IF($A$8="common year",2,1)*INT((E276+9)/12)+30</f>
        <v>2</v>
      </c>
      <c r="E276" s="41" t="n">
        <f aca="false">IF(K276&lt;32,1,INT(9*(IF($A$8="common year",2,1)+K276)/275+0.98))</f>
        <v>10</v>
      </c>
      <c r="F276" s="42" t="n">
        <f aca="false">AM276</f>
        <v>-40.4132294327484</v>
      </c>
      <c r="G276" s="60" t="n">
        <f aca="false">F276+1.02/(TAN($A$10*(F276+10.3/(F276+5.11)))*60)</f>
        <v>-40.4329902764696</v>
      </c>
      <c r="H276" s="43" t="n">
        <f aca="false">100*(1+COS($A$10*AQ276))/2</f>
        <v>38.7134252289649</v>
      </c>
      <c r="I276" s="43" t="n">
        <f aca="false">IF(AI276&gt;180,AT276-180,AT276+180)</f>
        <v>274.345887177779</v>
      </c>
      <c r="J276" s="61" t="n">
        <f aca="false">$J$2+K275</f>
        <v>2459854.5</v>
      </c>
      <c r="K276" s="21" t="n">
        <v>275</v>
      </c>
      <c r="L276" s="62" t="n">
        <f aca="false">(J276-2451545)/36525</f>
        <v>0.227501711156742</v>
      </c>
      <c r="M276" s="63" t="n">
        <f aca="false">MOD(280.46061837+360.98564736629*(J276-2451545)+0.000387933*L276^2-L276^3/38710000+$B$7,360)</f>
        <v>25.6974286348559</v>
      </c>
      <c r="N276" s="30" t="n">
        <f aca="false">0.606433+1336.855225*L276 - INT(0.606433+1336.855225*L276)</f>
        <v>0.743284256331265</v>
      </c>
      <c r="O276" s="35" t="n">
        <f aca="false">22640*SIN(P276)-4586*SIN(P276-2*R276)+2370*SIN(2*R276)+769*SIN(2*P276)-668*SIN(Q276)-412*SIN(2*S276)-212*SIN(2*P276-2*R276)-206*SIN(P276+Q276-2*R276)+192*SIN(P276+2*R276)-165*SIN(Q276-2*R276)-125*SIN(R276)-110*SIN(P276+Q276)+148*SIN(P276-Q276)-55*SIN(2*S276-2*R276)</f>
        <v>-7234.14410930247</v>
      </c>
      <c r="P276" s="32" t="n">
        <f aca="false">2*PI()*(0.374897+1325.55241*L276 - INT(0.374897+1325.55241*L276))</f>
        <v>5.90832106546782</v>
      </c>
      <c r="Q276" s="36" t="n">
        <f aca="false">2*PI()*(0.993133+99.997361*L276 - INT(0.993133+99.997361*L276))</f>
        <v>4.66654521832614</v>
      </c>
      <c r="R276" s="36" t="n">
        <f aca="false">2*PI()*(0.827361+1236.853086*L276 - INT(0.827361+1236.853086*L276))</f>
        <v>1.34180258776901</v>
      </c>
      <c r="S276" s="36" t="n">
        <f aca="false">2*PI()*(0.259086+1342.227825*L276 - INT(0.259086+1342.227825*L276))</f>
        <v>3.88434652221298</v>
      </c>
      <c r="T276" s="36" t="n">
        <f aca="false">S276+(O276+412*SIN(2*S276)+541*SIN(Q276))/206264.8062</f>
        <v>3.84864448746695</v>
      </c>
      <c r="U276" s="36" t="n">
        <f aca="false">S276-2*R276</f>
        <v>1.20074134667497</v>
      </c>
      <c r="V276" s="34" t="n">
        <f aca="false">-526*SIN(U276)+44*SIN(P276+U276)-31*SIN(-P276+U276)-23*SIN(Q276+U276)+11*SIN(-Q276+U276)-25*SIN(-2*P276+S276)+21*SIN(-P276+S276)</f>
        <v>-470.207522570587</v>
      </c>
      <c r="W276" s="36" t="n">
        <f aca="false">2*PI()*(N276+O276/1296000-INT(N276+O276/1296000))</f>
        <v>4.63512059808543</v>
      </c>
      <c r="X276" s="35" t="n">
        <f aca="false">W276*180/PI()</f>
        <v>265.572847804449</v>
      </c>
      <c r="Y276" s="36" t="n">
        <f aca="false">(18520*SIN(T276)+V276)/206264.8062</f>
        <v>-0.0606051521982535</v>
      </c>
      <c r="Z276" s="36" t="n">
        <f aca="false">Y276*180/PI()</f>
        <v>-3.47241943770793</v>
      </c>
      <c r="AA276" s="36" t="n">
        <f aca="false">COS(Y276)*COS(W276)</f>
        <v>-0.0770497997811938</v>
      </c>
      <c r="AB276" s="36" t="n">
        <f aca="false">COS(Y276)*SIN(W276)</f>
        <v>-0.995185831198025</v>
      </c>
      <c r="AC276" s="36" t="n">
        <f aca="false">SIN(Y276)</f>
        <v>-0.0605680587139308</v>
      </c>
      <c r="AD276" s="36" t="n">
        <f aca="false">COS($A$10*(23.4393-46.815*L276/3600))*AB276-SIN($A$10*(23.4393-46.815*L276/3600))*AC276</f>
        <v>-0.888995796927785</v>
      </c>
      <c r="AE276" s="36" t="n">
        <f aca="false">SIN($A$10*(23.4393-46.815*L276/3600))*AB276+COS($A$10*(23.4393-46.815*L276/3600))*AC276</f>
        <v>-0.451386532141147</v>
      </c>
      <c r="AF276" s="36" t="n">
        <f aca="false">SQRT(1-AE276*AE276)</f>
        <v>0.892328526161519</v>
      </c>
      <c r="AG276" s="35" t="n">
        <f aca="false">ATAN(AE276/AF276)/$A$10</f>
        <v>-26.832677266883</v>
      </c>
      <c r="AH276" s="36" t="n">
        <f aca="false">IF(24*ATAN(AD276/(AA276+AF276))/PI()&gt;0,24*ATAN(AD276/(AA276+AF276))/PI(),24*ATAN(AD276/(AA276+AF276))/PI()+24)</f>
        <v>17.6697679197646</v>
      </c>
      <c r="AI276" s="63" t="n">
        <f aca="false">IF(M276-15*AH276&gt;0,M276-15*AH276,360+M276-15*AH276)</f>
        <v>120.650909838386</v>
      </c>
      <c r="AJ276" s="32" t="n">
        <f aca="false">0.950724+0.051818*COS(P276)+0.009531*COS(2*R276-P276)+0.007843*COS(2*R276)+0.002824*COS(2*P276)+0.000857*COS(2*R276+P276)+0.000533*COS(2*R276-Q276)*(1-0.002495*(J276-2415020)/36525)+0.000401*COS(2*R276-Q276-P276)*(1-0.002495*(J276-2415020)/36525)+0.00032*COS(P276-Q276)*(1-0.002495*(J276-2415020)/36525)-0.000271*COS(R276)</f>
        <v>0.983714856639799</v>
      </c>
      <c r="AK276" s="36" t="n">
        <f aca="false">ASIN(COS($A$10*$B$5)*COS($A$10*AG276)*COS($A$10*AI276)+SIN($A$10*$B$5)*SIN($A$10*AG276))/$A$10</f>
        <v>-39.6573952451305</v>
      </c>
      <c r="AL276" s="32" t="n">
        <f aca="false">ASIN((0.9983271+0.0016764*COS($A$10*2*$B$5))*COS($A$10*AK276)*SIN($A$10*AJ276))/$A$10</f>
        <v>0.755834187617924</v>
      </c>
      <c r="AM276" s="32" t="n">
        <f aca="false">AK276-AL276</f>
        <v>-40.4132294327484</v>
      </c>
      <c r="AN276" s="35" t="n">
        <f aca="false"> MOD(280.4664567 + 360007.6982779*L276/10 + 0.03032028*L276^2/100 + L276^3/49931000,360)</f>
        <v>190.703211175343</v>
      </c>
      <c r="AO276" s="32" t="n">
        <f aca="false"> AN276 + (1.9146 - 0.004817*L276 - 0.000014*L276^2)*SIN(Q276)+ (0.019993 - 0.000101*L276)*SIN(2*Q276)+ 0.00029*SIN(3*Q276)</f>
        <v>188.793833880488</v>
      </c>
      <c r="AP276" s="32" t="n">
        <f aca="false">ACOS(COS(W276-$A$10*AO276)*COS(Y276))/$A$10</f>
        <v>76.8037256631151</v>
      </c>
      <c r="AQ276" s="34" t="n">
        <f aca="false">180 - AP276 -0.1468*(1-0.0549*SIN(Q276))*SIN($A$10*AP276)/(1-0.0167*SIN($A$10*AO276))</f>
        <v>103.045896442667</v>
      </c>
      <c r="AR276" s="64" t="n">
        <f aca="false">SIN($A$10*AI276)</f>
        <v>0.860289381431651</v>
      </c>
      <c r="AS276" s="64" t="n">
        <f aca="false">COS($A$10*AI276)*SIN($A$10*$B$5) - TAN($A$10*AG276)*COS($A$10*$B$5)</f>
        <v>-0.0653784112384795</v>
      </c>
      <c r="AT276" s="24" t="n">
        <f aca="false">IF(OR(AND(AR276*AS276&gt;0), AND(AR276&lt;0,AS276&gt;0)), MOD(ATAN2(AS276,AR276)/$A$10+360,360),  ATAN2(AS276,AR276)/$A$10)</f>
        <v>94.3458871777794</v>
      </c>
      <c r="AU276" s="39" t="n">
        <f aca="false"> 385000.56 + (-20905355*COS(P276) - 3699111*COS(2*R276-P276) - 2955968*COS(2*R276) - 569925*COS(2*P276) + (1-0.002516*L276)*48888*COS(Q276) - 3149*COS(2*S276)  +246158*COS(2*R276-2*P276) -(1 - 0.002516*L276)*152138*COS(2*R276-Q276-P276) -170733*COS(2*R276+P276) -(1 - 0.002516*L276)*204586*COS(2*R276-Q276) -(1 - 0.002516*L276)*129620*COS(Q276-P276)  + 108743*COS(R276) +(1-0.002516*L276)*104755*COS(Q276+P276) +10321*COS(2*R276-2*S276) +79661*COS(P276-2*S276) -34782*COS(4*R276-P276) -23210*COS(3*P276)  -21636*COS(4*R276-2*P276) +(1 - 0.002516*L276)*24208*COS(2*R276+Q276-P276) +(1 - 0.002516*L276)*30824*COS(2*R276+Q276) -8379*COS(R276-P276) -(1 - 0.002516*L276)*16675*COS(R276+Q276)  -(1 - 0.002516*L276)*12831*COS(2*R276-Q276+P276) -10445*COS(2*R276+2*P276) -11650*COS(4*R276) +14403*COS(2*R276-3*P276) -(1-0.002516*L276)*7003*COS(Q276-2*P276)  + (1 - 0.002516*L276)*10056*COS(2*R276-Q276-2*P276) +6322*COS(R276+P276) -(1 - 0.002516*L276)*(1-0.002516*L276)*9884*COS(2*R276-2*Q276) +(1-0.002516*L276)*5751*COS(Q276+2*P276) - (1-0.002516*L276)^2*4950*COS(2*R276-2*Q276-P276)  +4130*COS(2*R276+P276-2*S276) -(1-0.002516*L276)*3958*COS(4*R276-Q276-P276) +3258*COS(3*R276-P276) +(1 - 0.002516*L276)*2616*COS(2*R276+Q276+P276) -(1 - 0.002516*L276)*1897*COS(4*R276-Q276-2*P276)  -(1-0.002516*L276)^2*2117*COS(2*Q276-P276) +(1-0.002516*L276)^2*2354*COS(2*R276+2*Q276-P276) -1423*COS(4*R276+P276) -1117*COS(4*P276) -(1-0.002516*L276)*1571*COS(4*R276-Q276)  -1739*COS(R276-2*P276) -4421*COS(2*P276-2*S276) +(1-0.002516*L276)^2*1165*COS(2*Q276+P276) +8752*COS(2*R276-P276-2*S276))/1000</f>
        <v>371280.156240906</v>
      </c>
      <c r="AV276" s="54" t="n">
        <f aca="false">ATAN(0.99664719*TAN($A$10*input!$E$2))</f>
        <v>0.871010436227447</v>
      </c>
      <c r="AW276" s="54" t="n">
        <f aca="false">COS(AV276)</f>
        <v>0.644053912545845</v>
      </c>
      <c r="AX276" s="54" t="n">
        <f aca="false">0.99664719*SIN(AV276)</f>
        <v>0.762415269897027</v>
      </c>
      <c r="AY276" s="54" t="n">
        <f aca="false">6378.14/AU276</f>
        <v>0.017178779670254</v>
      </c>
      <c r="AZ276" s="55" t="n">
        <f aca="false">M276-15*AH276</f>
        <v>-239.349090161614</v>
      </c>
      <c r="BA276" s="56" t="n">
        <f aca="false">COS($A$10*AG276)*SIN($A$10*AZ276)</f>
        <v>0.767660755805311</v>
      </c>
      <c r="BB276" s="56" t="n">
        <f aca="false">COS($A$10*AG276)*COS($A$10*AZ276)-AW276*AY276</f>
        <v>-0.46597851661136</v>
      </c>
      <c r="BC276" s="56" t="n">
        <f aca="false">SIN($A$10*AG276)-AX276*AY276</f>
        <v>-0.464483896079945</v>
      </c>
      <c r="BD276" s="57" t="n">
        <f aca="false">SQRT(BA276^2+BB276^2+BC276^2)</f>
        <v>1.01103130696557</v>
      </c>
      <c r="BE276" s="58" t="n">
        <f aca="false">AU276*BD276</f>
        <v>375375.861614624</v>
      </c>
    </row>
    <row r="277" customFormat="false" ht="15" hidden="false" customHeight="false" outlineLevel="0" collapsed="false">
      <c r="D277" s="41" t="n">
        <f aca="false">K277-INT(275*E277/9)+IF($A$8="common year",2,1)*INT((E277+9)/12)+30</f>
        <v>3</v>
      </c>
      <c r="E277" s="41" t="n">
        <f aca="false">IF(K277&lt;32,1,INT(9*(IF($A$8="common year",2,1)+K277)/275+0.98))</f>
        <v>10</v>
      </c>
      <c r="F277" s="42" t="n">
        <f aca="false">AM277</f>
        <v>-31.3657476056872</v>
      </c>
      <c r="G277" s="60" t="n">
        <f aca="false">F277+1.02/(TAN($A$10*(F277+10.3/(F277+5.11)))*60)</f>
        <v>-31.3932106836193</v>
      </c>
      <c r="H277" s="43" t="n">
        <f aca="false">100*(1+COS($A$10*AQ277))/2</f>
        <v>50.0444707902817</v>
      </c>
      <c r="I277" s="43" t="n">
        <f aca="false">IF(AI277&gt;180,AT277-180,AT277+180)</f>
        <v>262.638657234415</v>
      </c>
      <c r="J277" s="61" t="n">
        <f aca="false">$J$2+K276</f>
        <v>2459855.5</v>
      </c>
      <c r="K277" s="21" t="n">
        <v>276</v>
      </c>
      <c r="L277" s="62" t="n">
        <f aca="false">(J277-2451545)/36525</f>
        <v>0.227529089664613</v>
      </c>
      <c r="M277" s="63" t="n">
        <f aca="false">MOD(280.46061837+360.98564736629*(J277-2451545)+0.000387933*L277^2-L277^3/38710000+$B$7,360)</f>
        <v>26.6830760058947</v>
      </c>
      <c r="N277" s="30" t="n">
        <f aca="false">0.606433+1336.855225*L277 - INT(0.606433+1336.855225*L277)</f>
        <v>0.779885357631713</v>
      </c>
      <c r="O277" s="35" t="n">
        <f aca="false">22640*SIN(P277)-4586*SIN(P277-2*R277)+2370*SIN(2*R277)+769*SIN(2*P277)-668*SIN(Q277)-412*SIN(2*S277)-212*SIN(2*P277-2*R277)-206*SIN(P277+Q277-2*R277)+192*SIN(P277+2*R277)-165*SIN(Q277-2*R277)-125*SIN(R277)-110*SIN(P277+Q277)+148*SIN(P277-Q277)-55*SIN(2*S277-2*R277)</f>
        <v>-3905.66918598162</v>
      </c>
      <c r="P277" s="32" t="n">
        <f aca="false">2*PI()*(0.374897+1325.55241*L277 - INT(0.374897+1325.55241*L277))</f>
        <v>6.13634820924328</v>
      </c>
      <c r="Q277" s="36" t="n">
        <f aca="false">2*PI()*(0.993133+99.997361*L277 - INT(0.993133+99.997361*L277))</f>
        <v>4.68374718819312</v>
      </c>
      <c r="R277" s="36" t="n">
        <f aca="false">2*PI()*(0.827361+1236.853086*L277 - INT(0.827361+1236.853086*L277))</f>
        <v>1.55457129788803</v>
      </c>
      <c r="S277" s="36" t="n">
        <f aca="false">2*PI()*(0.259086+1342.227825*L277 - INT(0.259086+1342.227825*L277))</f>
        <v>4.11524224155398</v>
      </c>
      <c r="T277" s="36" t="n">
        <f aca="false">S277+(O277+412*SIN(2*S277)+541*SIN(Q277))/206264.8062</f>
        <v>4.09554278118695</v>
      </c>
      <c r="U277" s="36" t="n">
        <f aca="false">S277-2*R277</f>
        <v>1.00609964577792</v>
      </c>
      <c r="V277" s="34" t="n">
        <f aca="false">-526*SIN(U277)+44*SIN(P277+U277)-31*SIN(-P277+U277)-23*SIN(Q277+U277)+11*SIN(-Q277+U277)-25*SIN(-2*P277+S277)+21*SIN(-P277+S277)</f>
        <v>-415.918541953731</v>
      </c>
      <c r="W277" s="36" t="n">
        <f aca="false">2*PI()*(N277+O277/1296000-INT(N277+O277/1296000))</f>
        <v>4.88122900180356</v>
      </c>
      <c r="X277" s="35" t="n">
        <f aca="false">W277*180/PI()</f>
        <v>279.6738206402</v>
      </c>
      <c r="Y277" s="36" t="n">
        <f aca="false">(18520*SIN(T277)+V277)/206264.8062</f>
        <v>-0.0752567059608694</v>
      </c>
      <c r="Z277" s="36" t="n">
        <f aca="false">Y277*180/PI()</f>
        <v>-4.31189163161484</v>
      </c>
      <c r="AA277" s="36" t="n">
        <f aca="false">COS(Y277)*COS(W277)</f>
        <v>0.167563352415541</v>
      </c>
      <c r="AB277" s="36" t="n">
        <f aca="false">COS(Y277)*SIN(W277)</f>
        <v>-0.982990150042003</v>
      </c>
      <c r="AC277" s="36" t="n">
        <f aca="false">SIN(Y277)</f>
        <v>-0.0751856891147955</v>
      </c>
      <c r="AD277" s="36" t="n">
        <f aca="false">COS($A$10*(23.4393-46.815*L277/3600))*AB277-SIN($A$10*(23.4393-46.815*L277/3600))*AC277</f>
        <v>-0.871992362346607</v>
      </c>
      <c r="AE277" s="36" t="n">
        <f aca="false">SIN($A$10*(23.4393-46.815*L277/3600))*AB277+COS($A$10*(23.4393-46.815*L277/3600))*AC277</f>
        <v>-0.459947652387148</v>
      </c>
      <c r="AF277" s="36" t="n">
        <f aca="false">SQRT(1-AE277*AE277)</f>
        <v>0.887946032742729</v>
      </c>
      <c r="AG277" s="35" t="n">
        <f aca="false">ATAN(AE277/AF277)/$A$10</f>
        <v>-27.3837296587626</v>
      </c>
      <c r="AH277" s="36" t="n">
        <f aca="false">IF(24*ATAN(AD277/(AA277+AF277))/PI()&gt;0,24*ATAN(AD277/(AA277+AF277))/PI(),24*ATAN(AD277/(AA277+AF277))/PI()+24)</f>
        <v>18.7251632569905</v>
      </c>
      <c r="AI277" s="63" t="n">
        <f aca="false">IF(M277-15*AH277&gt;0,M277-15*AH277,360+M277-15*AH277)</f>
        <v>105.805627151037</v>
      </c>
      <c r="AJ277" s="32" t="n">
        <f aca="false">0.950724+0.051818*COS(P277)+0.009531*COS(2*R277-P277)+0.007843*COS(2*R277)+0.002824*COS(2*P277)+0.000857*COS(2*R277+P277)+0.000533*COS(2*R277-Q277)*(1-0.002495*(J277-2415020)/36525)+0.000401*COS(2*R277-Q277-P277)*(1-0.002495*(J277-2415020)/36525)+0.00032*COS(P277-Q277)*(1-0.002495*(J277-2415020)/36525)-0.000271*COS(R277)</f>
        <v>0.986624805247584</v>
      </c>
      <c r="AK277" s="36" t="n">
        <f aca="false">ASIN(COS($A$10*$B$5)*COS($A$10*AG277)*COS($A$10*AI277)+SIN($A$10*$B$5)*SIN($A$10*AG277))/$A$10</f>
        <v>-30.5174759195913</v>
      </c>
      <c r="AL277" s="32" t="n">
        <f aca="false">ASIN((0.9983271+0.0016764*COS($A$10*2*$B$5))*COS($A$10*AK277)*SIN($A$10*AJ277))/$A$10</f>
        <v>0.848271686095913</v>
      </c>
      <c r="AM277" s="32" t="n">
        <f aca="false">AK277-AL277</f>
        <v>-31.3657476056872</v>
      </c>
      <c r="AN277" s="35" t="n">
        <f aca="false"> MOD(280.4664567 + 360007.6982779*L277/10 + 0.03032028*L277^2/100 + L277^3/49931000,360)</f>
        <v>191.688858539224</v>
      </c>
      <c r="AO277" s="32" t="n">
        <f aca="false"> AN277 + (1.9146 - 0.004817*L277 - 0.000014*L277^2)*SIN(Q277)+ (0.019993 - 0.000101*L277)*SIN(2*Q277)+ 0.00029*SIN(3*Q277)</f>
        <v>189.777572350204</v>
      </c>
      <c r="AP277" s="32" t="n">
        <f aca="false">ACOS(COS(W277-$A$10*AO277)*COS(Y277))/$A$10</f>
        <v>89.8965419543056</v>
      </c>
      <c r="AQ277" s="34" t="n">
        <f aca="false">180 - AP277 -0.1468*(1-0.0549*SIN(Q277))*SIN($A$10*AP277)/(1-0.0167*SIN($A$10*AO277))</f>
        <v>89.9490402213863</v>
      </c>
      <c r="AR277" s="64" t="n">
        <f aca="false">SIN($A$10*AI277)</f>
        <v>0.962191247615839</v>
      </c>
      <c r="AS277" s="64" t="n">
        <f aca="false">COS($A$10*AI277)*SIN($A$10*$B$5) - TAN($A$10*AG277)*COS($A$10*$B$5)</f>
        <v>0.124306744722739</v>
      </c>
      <c r="AT277" s="24" t="n">
        <f aca="false">IF(OR(AND(AR277*AS277&gt;0), AND(AR277&lt;0,AS277&gt;0)), MOD(ATAN2(AS277,AR277)/$A$10+360,360),  ATAN2(AS277,AR277)/$A$10)</f>
        <v>82.6386572344146</v>
      </c>
      <c r="AU277" s="39" t="n">
        <f aca="false"> 385000.56 + (-20905355*COS(P277) - 3699111*COS(2*R277-P277) - 2955968*COS(2*R277) - 569925*COS(2*P277) + (1-0.002516*L277)*48888*COS(Q277) - 3149*COS(2*S277)  +246158*COS(2*R277-2*P277) -(1 - 0.002516*L277)*152138*COS(2*R277-Q277-P277) -170733*COS(2*R277+P277) -(1 - 0.002516*L277)*204586*COS(2*R277-Q277) -(1 - 0.002516*L277)*129620*COS(Q277-P277)  + 108743*COS(R277) +(1-0.002516*L277)*104755*COS(Q277+P277) +10321*COS(2*R277-2*S277) +79661*COS(P277-2*S277) -34782*COS(4*R277-P277) -23210*COS(3*P277)  -21636*COS(4*R277-2*P277) +(1 - 0.002516*L277)*24208*COS(2*R277+Q277-P277) +(1 - 0.002516*L277)*30824*COS(2*R277+Q277) -8379*COS(R277-P277) -(1 - 0.002516*L277)*16675*COS(R277+Q277)  -(1 - 0.002516*L277)*12831*COS(2*R277-Q277+P277) -10445*COS(2*R277+2*P277) -11650*COS(4*R277) +14403*COS(2*R277-3*P277) -(1-0.002516*L277)*7003*COS(Q277-2*P277)  + (1 - 0.002516*L277)*10056*COS(2*R277-Q277-2*P277) +6322*COS(R277+P277) -(1 - 0.002516*L277)*(1-0.002516*L277)*9884*COS(2*R277-2*Q277) +(1-0.002516*L277)*5751*COS(Q277+2*P277) - (1-0.002516*L277)^2*4950*COS(2*R277-2*Q277-P277)  +4130*COS(2*R277+P277-2*S277) -(1-0.002516*L277)*3958*COS(4*R277-Q277-P277) +3258*COS(3*R277-P277) +(1 - 0.002516*L277)*2616*COS(2*R277+Q277+P277) -(1 - 0.002516*L277)*1897*COS(4*R277-Q277-2*P277)  -(1-0.002516*L277)^2*2117*COS(2*Q277-P277) +(1-0.002516*L277)^2*2354*COS(2*R277+2*Q277-P277) -1423*COS(4*R277+P277) -1117*COS(4*P277) -(1-0.002516*L277)*1571*COS(4*R277-Q277)  -1739*COS(R277-2*P277) -4421*COS(2*P277-2*S277) +(1-0.002516*L277)^2*1165*COS(2*Q277+P277) +8752*COS(2*R277-P277-2*S277))/1000</f>
        <v>370135.931121461</v>
      </c>
      <c r="AV277" s="54" t="n">
        <f aca="false">ATAN(0.99664719*TAN($A$10*input!$E$2))</f>
        <v>0.871010436227447</v>
      </c>
      <c r="AW277" s="54" t="n">
        <f aca="false">COS(AV277)</f>
        <v>0.644053912545845</v>
      </c>
      <c r="AX277" s="54" t="n">
        <f aca="false">0.99664719*SIN(AV277)</f>
        <v>0.762415269897027</v>
      </c>
      <c r="AY277" s="54" t="n">
        <f aca="false">6378.14/AU277</f>
        <v>0.01723188554182</v>
      </c>
      <c r="AZ277" s="55" t="n">
        <f aca="false">M277-15*AH277</f>
        <v>-254.194372848963</v>
      </c>
      <c r="BA277" s="56" t="n">
        <f aca="false">COS($A$10*AG277)*SIN($A$10*AZ277)</f>
        <v>0.854373901060262</v>
      </c>
      <c r="BB277" s="56" t="n">
        <f aca="false">COS($A$10*AG277)*COS($A$10*AZ277)-AW277*AY277</f>
        <v>-0.252952339661008</v>
      </c>
      <c r="BC277" s="56" t="n">
        <f aca="false">SIN($A$10*AG277)-AX277*AY277</f>
        <v>-0.473085505053349</v>
      </c>
      <c r="BD277" s="57" t="n">
        <f aca="false">SQRT(BA277^2+BB277^2+BC277^2)</f>
        <v>1.00883573689897</v>
      </c>
      <c r="BE277" s="58" t="n">
        <f aca="false">AU277*BD277</f>
        <v>373406.354825706</v>
      </c>
    </row>
    <row r="278" customFormat="false" ht="15" hidden="false" customHeight="false" outlineLevel="0" collapsed="false">
      <c r="D278" s="41" t="n">
        <f aca="false">K278-INT(275*E278/9)+IF($A$8="common year",2,1)*INT((E278+9)/12)+30</f>
        <v>4</v>
      </c>
      <c r="E278" s="41" t="n">
        <f aca="false">IF(K278&lt;32,1,INT(9*(IF($A$8="common year",2,1)+K278)/275+0.98))</f>
        <v>10</v>
      </c>
      <c r="F278" s="42" t="n">
        <f aca="false">AM278</f>
        <v>-21.2609155780693</v>
      </c>
      <c r="G278" s="60" t="n">
        <f aca="false">F278+1.02/(TAN($A$10*(F278+10.3/(F278+5.11)))*60)</f>
        <v>-21.3032072851022</v>
      </c>
      <c r="H278" s="43" t="n">
        <f aca="false">100*(1+COS($A$10*AQ278))/2</f>
        <v>61.419648574991</v>
      </c>
      <c r="I278" s="43" t="n">
        <f aca="false">IF(AI278&gt;180,AT278-180,AT278+180)</f>
        <v>253.175487330255</v>
      </c>
      <c r="J278" s="61" t="n">
        <f aca="false">$J$2+K277</f>
        <v>2459856.5</v>
      </c>
      <c r="K278" s="21" t="n">
        <v>277</v>
      </c>
      <c r="L278" s="62" t="n">
        <f aca="false">(J278-2451545)/36525</f>
        <v>0.227556468172485</v>
      </c>
      <c r="M278" s="63" t="n">
        <f aca="false">MOD(280.46061837+360.98564736629*(J278-2451545)+0.000387933*L278^2-L278^3/38710000+$B$7,360)</f>
        <v>27.6687233764678</v>
      </c>
      <c r="N278" s="30" t="n">
        <f aca="false">0.606433+1336.855225*L278 - INT(0.606433+1336.855225*L278)</f>
        <v>0.816486458932218</v>
      </c>
      <c r="O278" s="35" t="n">
        <f aca="false">22640*SIN(P278)-4586*SIN(P278-2*R278)+2370*SIN(2*R278)+769*SIN(2*P278)-668*SIN(Q278)-412*SIN(2*S278)-212*SIN(2*P278-2*R278)-206*SIN(P278+Q278-2*R278)+192*SIN(P278+2*R278)-165*SIN(Q278-2*R278)-125*SIN(R278)-110*SIN(P278+Q278)+148*SIN(P278-Q278)-55*SIN(2*S278-2*R278)</f>
        <v>-261.235018493513</v>
      </c>
      <c r="P278" s="32" t="n">
        <f aca="false">2*PI()*(0.374897+1325.55241*L278 - INT(0.374897+1325.55241*L278))</f>
        <v>0.0811900458395127</v>
      </c>
      <c r="Q278" s="36" t="n">
        <f aca="false">2*PI()*(0.993133+99.997361*L278 - INT(0.993133+99.997361*L278))</f>
        <v>4.70094915806013</v>
      </c>
      <c r="R278" s="36" t="n">
        <f aca="false">2*PI()*(0.827361+1236.853086*L278 - INT(0.827361+1236.853086*L278))</f>
        <v>1.7673400080067</v>
      </c>
      <c r="S278" s="36" t="n">
        <f aca="false">2*PI()*(0.259086+1342.227825*L278 - INT(0.259086+1342.227825*L278))</f>
        <v>4.34613796089463</v>
      </c>
      <c r="T278" s="36" t="n">
        <f aca="false">S278+(O278+412*SIN(2*S278)+541*SIN(Q278))/206264.8062</f>
        <v>4.3435845343362</v>
      </c>
      <c r="U278" s="36" t="n">
        <f aca="false">S278-2*R278</f>
        <v>0.811457944881235</v>
      </c>
      <c r="V278" s="34" t="n">
        <f aca="false">-526*SIN(U278)+44*SIN(P278+U278)-31*SIN(-P278+U278)-23*SIN(Q278+U278)+11*SIN(-Q278+U278)-25*SIN(-2*P278+S278)+21*SIN(-P278+S278)</f>
        <v>-341.758378985885</v>
      </c>
      <c r="W278" s="36" t="n">
        <f aca="false">2*PI()*(N278+O278/1296000-INT(N278+O278/1296000))</f>
        <v>5.12886921916449</v>
      </c>
      <c r="X278" s="35" t="n">
        <f aca="false">W278*180/PI()</f>
        <v>293.862559932684</v>
      </c>
      <c r="Y278" s="36" t="n">
        <f aca="false">(18520*SIN(T278)+V278)/206264.8062</f>
        <v>-0.0854069851654563</v>
      </c>
      <c r="Z278" s="36" t="n">
        <f aca="false">Y278*180/PI()</f>
        <v>-4.89345979091708</v>
      </c>
      <c r="AA278" s="36" t="n">
        <f aca="false">COS(Y278)*COS(W278)</f>
        <v>0.403069531808946</v>
      </c>
      <c r="AB278" s="36" t="n">
        <f aca="false">COS(Y278)*SIN(W278)</f>
        <v>-0.911185117324769</v>
      </c>
      <c r="AC278" s="36" t="n">
        <f aca="false">SIN(Y278)</f>
        <v>-0.0853031915766621</v>
      </c>
      <c r="AD278" s="36" t="n">
        <f aca="false">COS($A$10*(23.4393-46.815*L278/3600))*AB278-SIN($A$10*(23.4393-46.815*L278/3600))*AC278</f>
        <v>-0.802087031698044</v>
      </c>
      <c r="AE278" s="36" t="n">
        <f aca="false">SIN($A$10*(23.4393-46.815*L278/3600))*AB278+COS($A$10*(23.4393-46.815*L278/3600))*AC278</f>
        <v>-0.440671471857595</v>
      </c>
      <c r="AF278" s="36" t="n">
        <f aca="false">SQRT(1-AE278*AE278)</f>
        <v>0.897668454325349</v>
      </c>
      <c r="AG278" s="35" t="n">
        <f aca="false">ATAN(AE278/AF278)/$A$10</f>
        <v>-26.1467315302771</v>
      </c>
      <c r="AH278" s="36" t="n">
        <f aca="false">IF(24*ATAN(AD278/(AA278+AF278))/PI()&gt;0,24*ATAN(AD278/(AA278+AF278))/PI(),24*ATAN(AD278/(AA278+AF278))/PI()+24)</f>
        <v>19.7787142849862</v>
      </c>
      <c r="AI278" s="63" t="n">
        <f aca="false">IF(M278-15*AH278&gt;0,M278-15*AH278,360+M278-15*AH278)</f>
        <v>90.9880091016744</v>
      </c>
      <c r="AJ278" s="32" t="n">
        <f aca="false">0.950724+0.051818*COS(P278)+0.009531*COS(2*R278-P278)+0.007843*COS(2*R278)+0.002824*COS(2*P278)+0.000857*COS(2*R278+P278)+0.000533*COS(2*R278-Q278)*(1-0.002495*(J278-2415020)/36525)+0.000401*COS(2*R278-Q278-P278)*(1-0.002495*(J278-2415020)/36525)+0.00032*COS(P278-Q278)*(1-0.002495*(J278-2415020)/36525)-0.000271*COS(R278)</f>
        <v>0.988439341696327</v>
      </c>
      <c r="AK278" s="36" t="n">
        <f aca="false">ASIN(COS($A$10*$B$5)*COS($A$10*AG278)*COS($A$10*AI278)+SIN($A$10*$B$5)*SIN($A$10*AG278))/$A$10</f>
        <v>-20.3359103689028</v>
      </c>
      <c r="AL278" s="32" t="n">
        <f aca="false">ASIN((0.9983271+0.0016764*COS($A$10*2*$B$5))*COS($A$10*AK278)*SIN($A$10*AJ278))/$A$10</f>
        <v>0.925005209166549</v>
      </c>
      <c r="AM278" s="32" t="n">
        <f aca="false">AK278-AL278</f>
        <v>-21.2609155780693</v>
      </c>
      <c r="AN278" s="35" t="n">
        <f aca="false"> MOD(280.4664567 + 360007.6982779*L278/10 + 0.03032028*L278^2/100 + L278^3/49931000,360)</f>
        <v>192.674505903105</v>
      </c>
      <c r="AO278" s="32" t="n">
        <f aca="false"> AN278 + (1.9146 - 0.004817*L278 - 0.000014*L278^2)*SIN(Q278)+ (0.019993 - 0.000101*L278)*SIN(2*Q278)+ 0.00029*SIN(3*Q278)</f>
        <v>190.761874672085</v>
      </c>
      <c r="AP278" s="32" t="n">
        <f aca="false">ACOS(COS(W278-$A$10*AO278)*COS(Y278))/$A$10</f>
        <v>103.052088634179</v>
      </c>
      <c r="AQ278" s="34" t="n">
        <f aca="false">180 - AP278 -0.1468*(1-0.0549*SIN(Q278))*SIN($A$10*AP278)/(1-0.0167*SIN($A$10*AO278))</f>
        <v>76.7975222920937</v>
      </c>
      <c r="AR278" s="64" t="n">
        <f aca="false">SIN($A$10*AI278)</f>
        <v>0.999851325711572</v>
      </c>
      <c r="AS278" s="64" t="n">
        <f aca="false">COS($A$10*AI278)*SIN($A$10*$B$5) - TAN($A$10*AG278)*COS($A$10*$B$5)</f>
        <v>0.302339728948047</v>
      </c>
      <c r="AT278" s="24" t="n">
        <f aca="false">IF(OR(AND(AR278*AS278&gt;0), AND(AR278&lt;0,AS278&gt;0)), MOD(ATAN2(AS278,AR278)/$A$10+360,360),  ATAN2(AS278,AR278)/$A$10)</f>
        <v>73.1754873302554</v>
      </c>
      <c r="AU278" s="39" t="n">
        <f aca="false"> 385000.56 + (-20905355*COS(P278) - 3699111*COS(2*R278-P278) - 2955968*COS(2*R278) - 569925*COS(2*P278) + (1-0.002516*L278)*48888*COS(Q278) - 3149*COS(2*S278)  +246158*COS(2*R278-2*P278) -(1 - 0.002516*L278)*152138*COS(2*R278-Q278-P278) -170733*COS(2*R278+P278) -(1 - 0.002516*L278)*204586*COS(2*R278-Q278) -(1 - 0.002516*L278)*129620*COS(Q278-P278)  + 108743*COS(R278) +(1-0.002516*L278)*104755*COS(Q278+P278) +10321*COS(2*R278-2*S278) +79661*COS(P278-2*S278) -34782*COS(4*R278-P278) -23210*COS(3*P278)  -21636*COS(4*R278-2*P278) +(1 - 0.002516*L278)*24208*COS(2*R278+Q278-P278) +(1 - 0.002516*L278)*30824*COS(2*R278+Q278) -8379*COS(R278-P278) -(1 - 0.002516*L278)*16675*COS(R278+Q278)  -(1 - 0.002516*L278)*12831*COS(2*R278-Q278+P278) -10445*COS(2*R278+2*P278) -11650*COS(4*R278) +14403*COS(2*R278-3*P278) -(1-0.002516*L278)*7003*COS(Q278-2*P278)  + (1 - 0.002516*L278)*10056*COS(2*R278-Q278-2*P278) +6322*COS(R278+P278) -(1 - 0.002516*L278)*(1-0.002516*L278)*9884*COS(2*R278-2*Q278) +(1-0.002516*L278)*5751*COS(Q278+2*P278) - (1-0.002516*L278)^2*4950*COS(2*R278-2*Q278-P278)  +4130*COS(2*R278+P278-2*S278) -(1-0.002516*L278)*3958*COS(4*R278-Q278-P278) +3258*COS(3*R278-P278) +(1 - 0.002516*L278)*2616*COS(2*R278+Q278+P278) -(1 - 0.002516*L278)*1897*COS(4*R278-Q278-2*P278)  -(1-0.002516*L278)^2*2117*COS(2*Q278-P278) +(1-0.002516*L278)^2*2354*COS(2*R278+2*Q278-P278) -1423*COS(4*R278+P278) -1117*COS(4*P278) -(1-0.002516*L278)*1571*COS(4*R278-Q278)  -1739*COS(R278-2*P278) -4421*COS(2*P278-2*S278) +(1-0.002516*L278)^2*1165*COS(2*Q278+P278) +8752*COS(2*R278-P278-2*S278))/1000</f>
        <v>369469.835110635</v>
      </c>
      <c r="AV278" s="54" t="n">
        <f aca="false">ATAN(0.99664719*TAN($A$10*input!$E$2))</f>
        <v>0.871010436227447</v>
      </c>
      <c r="AW278" s="54" t="n">
        <f aca="false">COS(AV278)</f>
        <v>0.644053912545845</v>
      </c>
      <c r="AX278" s="54" t="n">
        <f aca="false">0.99664719*SIN(AV278)</f>
        <v>0.762415269897027</v>
      </c>
      <c r="AY278" s="54" t="n">
        <f aca="false">6378.14/AU278</f>
        <v>0.0172629519216098</v>
      </c>
      <c r="AZ278" s="55" t="n">
        <f aca="false">M278-15*AH278</f>
        <v>-269.011990898326</v>
      </c>
      <c r="BA278" s="56" t="n">
        <f aca="false">COS($A$10*AG278)*SIN($A$10*AZ278)</f>
        <v>0.897534994106658</v>
      </c>
      <c r="BB278" s="56" t="n">
        <f aca="false">COS($A$10*AG278)*COS($A$10*AZ278)-AW278*AY278</f>
        <v>-0.0265969100659606</v>
      </c>
      <c r="BC278" s="56" t="n">
        <f aca="false">SIN($A$10*AG278)-AX278*AY278</f>
        <v>-0.453833010006128</v>
      </c>
      <c r="BD278" s="57" t="n">
        <f aca="false">SQRT(BA278^2+BB278^2+BC278^2)</f>
        <v>1.00610181504772</v>
      </c>
      <c r="BE278" s="58" t="n">
        <f aca="false">AU278*BD278</f>
        <v>371724.271710192</v>
      </c>
    </row>
    <row r="279" customFormat="false" ht="15" hidden="false" customHeight="false" outlineLevel="0" collapsed="false">
      <c r="D279" s="41" t="n">
        <f aca="false">K279-INT(275*E279/9)+IF($A$8="common year",2,1)*INT((E279+9)/12)+30</f>
        <v>5</v>
      </c>
      <c r="E279" s="41" t="n">
        <f aca="false">IF(K279&lt;32,1,INT(9*(IF($A$8="common year",2,1)+K279)/275+0.98))</f>
        <v>10</v>
      </c>
      <c r="F279" s="42" t="n">
        <f aca="false">AM279</f>
        <v>-10.5291572569613</v>
      </c>
      <c r="G279" s="60" t="n">
        <f aca="false">F279+1.02/(TAN($A$10*(F279+10.3/(F279+5.11)))*60)</f>
        <v>-10.606286254029</v>
      </c>
      <c r="H279" s="43" t="n">
        <f aca="false">100*(1+COS($A$10*AQ279))/2</f>
        <v>72.2212020891667</v>
      </c>
      <c r="I279" s="43" t="n">
        <f aca="false">IF(AI279&gt;180,AT279-180,AT279+180)</f>
        <v>245.059390550165</v>
      </c>
      <c r="J279" s="61" t="n">
        <f aca="false">$J$2+K278</f>
        <v>2459857.5</v>
      </c>
      <c r="K279" s="21" t="n">
        <v>278</v>
      </c>
      <c r="L279" s="62" t="n">
        <f aca="false">(J279-2451545)/36525</f>
        <v>0.227583846680356</v>
      </c>
      <c r="M279" s="63" t="n">
        <f aca="false">MOD(280.46061837+360.98564736629*(J279-2451545)+0.000387933*L279^2-L279^3/38710000+$B$7,360)</f>
        <v>28.6543707479723</v>
      </c>
      <c r="N279" s="30" t="n">
        <f aca="false">0.606433+1336.855225*L279 - INT(0.606433+1336.855225*L279)</f>
        <v>0.853087560232723</v>
      </c>
      <c r="O279" s="35" t="n">
        <f aca="false">22640*SIN(P279)-4586*SIN(P279-2*R279)+2370*SIN(2*R279)+769*SIN(2*P279)-668*SIN(Q279)-412*SIN(2*S279)-212*SIN(2*P279-2*R279)-206*SIN(P279+Q279-2*R279)+192*SIN(P279+2*R279)-165*SIN(Q279-2*R279)-125*SIN(R279)-110*SIN(P279+Q279)+148*SIN(P279-Q279)-55*SIN(2*S279-2*R279)</f>
        <v>3596.72308063179</v>
      </c>
      <c r="P279" s="32" t="n">
        <f aca="false">2*PI()*(0.374897+1325.55241*L279 - INT(0.374897+1325.55241*L279))</f>
        <v>0.30921718961533</v>
      </c>
      <c r="Q279" s="36" t="n">
        <f aca="false">2*PI()*(0.993133+99.997361*L279 - INT(0.993133+99.997361*L279))</f>
        <v>4.71815112792711</v>
      </c>
      <c r="R279" s="36" t="n">
        <f aca="false">2*PI()*(0.827361+1236.853086*L279 - INT(0.827361+1236.853086*L279))</f>
        <v>1.98010871812572</v>
      </c>
      <c r="S279" s="36" t="n">
        <f aca="false">2*PI()*(0.259086+1342.227825*L279 - INT(0.259086+1342.227825*L279))</f>
        <v>4.57703368023564</v>
      </c>
      <c r="T279" s="36" t="n">
        <f aca="false">S279+(O279+412*SIN(2*S279)+541*SIN(Q279))/206264.8062</f>
        <v>4.5923824331564</v>
      </c>
      <c r="U279" s="36" t="n">
        <f aca="false">S279-2*R279</f>
        <v>0.61681624398419</v>
      </c>
      <c r="V279" s="34" t="n">
        <f aca="false">-526*SIN(U279)+44*SIN(P279+U279)-31*SIN(-P279+U279)-23*SIN(Q279+U279)+11*SIN(-Q279+U279)-25*SIN(-2*P279+S279)+21*SIN(-P279+S279)</f>
        <v>-251.516239866744</v>
      </c>
      <c r="W279" s="36" t="n">
        <f aca="false">2*PI()*(N279+O279/1296000-INT(N279+O279/1296000))</f>
        <v>5.37754462975845</v>
      </c>
      <c r="X279" s="35" t="n">
        <f aca="false">W279*180/PI()</f>
        <v>308.1106114284</v>
      </c>
      <c r="Y279" s="36" t="n">
        <f aca="false">(18520*SIN(T279)+V279)/206264.8062</f>
        <v>-0.0903611139641054</v>
      </c>
      <c r="Z279" s="36" t="n">
        <f aca="false">Y279*180/PI()</f>
        <v>-5.17731046224389</v>
      </c>
      <c r="AA279" s="36" t="n">
        <f aca="false">COS(Y279)*COS(W279)</f>
        <v>0.61466363803802</v>
      </c>
      <c r="AB279" s="36" t="n">
        <f aca="false">COS(Y279)*SIN(W279)</f>
        <v>-0.78361066869852</v>
      </c>
      <c r="AC279" s="36" t="n">
        <f aca="false">SIN(Y279)</f>
        <v>-0.0902381957694446</v>
      </c>
      <c r="AD279" s="36" t="n">
        <f aca="false">COS($A$10*(23.4393-46.815*L279/3600))*AB279-SIN($A$10*(23.4393-46.815*L279/3600))*AC279</f>
        <v>-0.683074354287267</v>
      </c>
      <c r="AE279" s="36" t="n">
        <f aca="false">SIN($A$10*(23.4393-46.815*L279/3600))*AB279+COS($A$10*(23.4393-46.815*L279/3600))*AC279</f>
        <v>-0.394459172271226</v>
      </c>
      <c r="AF279" s="36" t="n">
        <f aca="false">SQRT(1-AE279*AE279)</f>
        <v>0.918913467858154</v>
      </c>
      <c r="AG279" s="35" t="n">
        <f aca="false">ATAN(AE279/AF279)/$A$10</f>
        <v>-23.2322482924091</v>
      </c>
      <c r="AH279" s="36" t="n">
        <f aca="false">IF(24*ATAN(AD279/(AA279+AF279))/PI()&gt;0,24*ATAN(AD279/(AA279+AF279))/PI(),24*ATAN(AD279/(AA279+AF279))/PI()+24)</f>
        <v>20.7988283921199</v>
      </c>
      <c r="AI279" s="63" t="n">
        <f aca="false">IF(M279-15*AH279&gt;0,M279-15*AH279,360+M279-15*AH279)</f>
        <v>76.6719448661733</v>
      </c>
      <c r="AJ279" s="32" t="n">
        <f aca="false">0.950724+0.051818*COS(P279)+0.009531*COS(2*R279-P279)+0.007843*COS(2*R279)+0.002824*COS(2*P279)+0.000857*COS(2*R279+P279)+0.000533*COS(2*R279-Q279)*(1-0.002495*(J279-2415020)/36525)+0.000401*COS(2*R279-Q279-P279)*(1-0.002495*(J279-2415020)/36525)+0.00032*COS(P279-Q279)*(1-0.002495*(J279-2415020)/36525)-0.000271*COS(R279)</f>
        <v>0.988929966375687</v>
      </c>
      <c r="AK279" s="36" t="n">
        <f aca="false">ASIN(COS($A$10*$B$5)*COS($A$10*AG279)*COS($A$10*AI279)+SIN($A$10*$B$5)*SIN($A$10*AG279))/$A$10</f>
        <v>-9.55586631034325</v>
      </c>
      <c r="AL279" s="32" t="n">
        <f aca="false">ASIN((0.9983271+0.0016764*COS($A$10*2*$B$5))*COS($A$10*AK279)*SIN($A$10*AJ279))/$A$10</f>
        <v>0.973290946618053</v>
      </c>
      <c r="AM279" s="32" t="n">
        <f aca="false">AK279-AL279</f>
        <v>-10.5291572569613</v>
      </c>
      <c r="AN279" s="35" t="n">
        <f aca="false"> MOD(280.4664567 + 360007.6982779*L279/10 + 0.03032028*L279^2/100 + L279^3/49931000,360)</f>
        <v>193.660153266988</v>
      </c>
      <c r="AO279" s="32" t="n">
        <f aca="false"> AN279 + (1.9146 - 0.004817*L279 - 0.000014*L279^2)*SIN(Q279)+ (0.019993 - 0.000101*L279)*SIN(2*Q279)+ 0.00029*SIN(3*Q279)</f>
        <v>191.746741851236</v>
      </c>
      <c r="AP279" s="32" t="n">
        <f aca="false">ACOS(COS(W279-$A$10*AO279)*COS(Y279))/$A$10</f>
        <v>116.248074344318</v>
      </c>
      <c r="AQ279" s="34" t="n">
        <f aca="false">180 - AP279 -0.1468*(1-0.0549*SIN(Q279))*SIN($A$10*AP279)/(1-0.0167*SIN($A$10*AO279))</f>
        <v>63.6135049856142</v>
      </c>
      <c r="AR279" s="64" t="n">
        <f aca="false">SIN($A$10*AI279)</f>
        <v>0.973066111236955</v>
      </c>
      <c r="AS279" s="64" t="n">
        <f aca="false">COS($A$10*AI279)*SIN($A$10*$B$5) - TAN($A$10*AG279)*COS($A$10*$B$5)</f>
        <v>0.452520808362103</v>
      </c>
      <c r="AT279" s="24" t="n">
        <f aca="false">IF(OR(AND(AR279*AS279&gt;0), AND(AR279&lt;0,AS279&gt;0)), MOD(ATAN2(AS279,AR279)/$A$10+360,360),  ATAN2(AS279,AR279)/$A$10)</f>
        <v>65.059390550165</v>
      </c>
      <c r="AU279" s="39" t="n">
        <f aca="false"> 385000.56 + (-20905355*COS(P279) - 3699111*COS(2*R279-P279) - 2955968*COS(2*R279) - 569925*COS(2*P279) + (1-0.002516*L279)*48888*COS(Q279) - 3149*COS(2*S279)  +246158*COS(2*R279-2*P279) -(1 - 0.002516*L279)*152138*COS(2*R279-Q279-P279) -170733*COS(2*R279+P279) -(1 - 0.002516*L279)*204586*COS(2*R279-Q279) -(1 - 0.002516*L279)*129620*COS(Q279-P279)  + 108743*COS(R279) +(1-0.002516*L279)*104755*COS(Q279+P279) +10321*COS(2*R279-2*S279) +79661*COS(P279-2*S279) -34782*COS(4*R279-P279) -23210*COS(3*P279)  -21636*COS(4*R279-2*P279) +(1 - 0.002516*L279)*24208*COS(2*R279+Q279-P279) +(1 - 0.002516*L279)*30824*COS(2*R279+Q279) -8379*COS(R279-P279) -(1 - 0.002516*L279)*16675*COS(R279+Q279)  -(1 - 0.002516*L279)*12831*COS(2*R279-Q279+P279) -10445*COS(2*R279+2*P279) -11650*COS(4*R279) +14403*COS(2*R279-3*P279) -(1-0.002516*L279)*7003*COS(Q279-2*P279)  + (1 - 0.002516*L279)*10056*COS(2*R279-Q279-2*P279) +6322*COS(R279+P279) -(1 - 0.002516*L279)*(1-0.002516*L279)*9884*COS(2*R279-2*Q279) +(1-0.002516*L279)*5751*COS(Q279+2*P279) - (1-0.002516*L279)^2*4950*COS(2*R279-2*Q279-P279)  +4130*COS(2*R279+P279-2*S279) -(1-0.002516*L279)*3958*COS(4*R279-Q279-P279) +3258*COS(3*R279-P279) +(1 - 0.002516*L279)*2616*COS(2*R279+Q279+P279) -(1 - 0.002516*L279)*1897*COS(4*R279-Q279-2*P279)  -(1-0.002516*L279)^2*2117*COS(2*Q279-P279) +(1-0.002516*L279)^2*2354*COS(2*R279+2*Q279-P279) -1423*COS(4*R279+P279) -1117*COS(4*P279) -(1-0.002516*L279)*1571*COS(4*R279-Q279)  -1739*COS(R279-2*P279) -4421*COS(2*P279-2*S279) +(1-0.002516*L279)^2*1165*COS(2*Q279+P279) +8752*COS(2*R279-P279-2*S279))/1000</f>
        <v>369358.168557707</v>
      </c>
      <c r="AV279" s="54" t="n">
        <f aca="false">ATAN(0.99664719*TAN($A$10*input!$E$2))</f>
        <v>0.871010436227447</v>
      </c>
      <c r="AW279" s="54" t="n">
        <f aca="false">COS(AV279)</f>
        <v>0.644053912545845</v>
      </c>
      <c r="AX279" s="54" t="n">
        <f aca="false">0.99664719*SIN(AV279)</f>
        <v>0.762415269897027</v>
      </c>
      <c r="AY279" s="54" t="n">
        <f aca="false">6378.14/AU279</f>
        <v>0.0172681709596562</v>
      </c>
      <c r="AZ279" s="55" t="n">
        <f aca="false">M279-15*AH279</f>
        <v>-283.328055133827</v>
      </c>
      <c r="BA279" s="56" t="n">
        <f aca="false">COS($A$10*AG279)*SIN($A$10*AZ279)</f>
        <v>0.894163554731999</v>
      </c>
      <c r="BB279" s="56" t="n">
        <f aca="false">COS($A$10*AG279)*COS($A$10*AZ279)-AW279*AY279</f>
        <v>0.200712025257768</v>
      </c>
      <c r="BC279" s="56" t="n">
        <f aca="false">SIN($A$10*AG279)-AX279*AY279</f>
        <v>-0.40762468949406</v>
      </c>
      <c r="BD279" s="57" t="n">
        <f aca="false">SQRT(BA279^2+BB279^2+BC279^2)</f>
        <v>1.00298138924866</v>
      </c>
      <c r="BE279" s="58" t="n">
        <f aca="false">AU279*BD279</f>
        <v>370459.369030349</v>
      </c>
    </row>
    <row r="280" customFormat="false" ht="15" hidden="false" customHeight="false" outlineLevel="0" collapsed="false">
      <c r="D280" s="41" t="n">
        <f aca="false">K280-INT(275*E280/9)+IF($A$8="common year",2,1)*INT((E280+9)/12)+30</f>
        <v>6</v>
      </c>
      <c r="E280" s="41" t="n">
        <f aca="false">IF(K280&lt;32,1,INT(9*(IF($A$8="common year",2,1)+K280)/275+0.98))</f>
        <v>10</v>
      </c>
      <c r="F280" s="42" t="n">
        <f aca="false">AM280</f>
        <v>0.529357759215961</v>
      </c>
      <c r="G280" s="60" t="n">
        <f aca="false">F280+1.02/(TAN($A$10*(F280+10.3/(F280+5.11)))*60)</f>
        <v>0.942583185636303</v>
      </c>
      <c r="H280" s="43" t="n">
        <f aca="false">100*(1+COS($A$10*AQ280))/2</f>
        <v>81.8518443269789</v>
      </c>
      <c r="I280" s="43" t="n">
        <f aca="false">IF(AI280&gt;180,AT280-180,AT280+180)</f>
        <v>237.596461670446</v>
      </c>
      <c r="J280" s="61" t="n">
        <f aca="false">$J$2+K279</f>
        <v>2459858.5</v>
      </c>
      <c r="K280" s="21" t="n">
        <v>279</v>
      </c>
      <c r="L280" s="62" t="n">
        <f aca="false">(J280-2451545)/36525</f>
        <v>0.227611225188227</v>
      </c>
      <c r="M280" s="63" t="n">
        <f aca="false">MOD(280.46061837+360.98564736629*(J280-2451545)+0.000387933*L280^2-L280^3/38710000+$B$7,360)</f>
        <v>29.6400181190111</v>
      </c>
      <c r="N280" s="30" t="n">
        <f aca="false">0.606433+1336.855225*L280 - INT(0.606433+1336.855225*L280)</f>
        <v>0.889688661533171</v>
      </c>
      <c r="O280" s="35" t="n">
        <f aca="false">22640*SIN(P280)-4586*SIN(P280-2*R280)+2370*SIN(2*R280)+769*SIN(2*P280)-668*SIN(Q280)-412*SIN(2*S280)-212*SIN(2*P280-2*R280)-206*SIN(P280+Q280-2*R280)+192*SIN(P280+2*R280)-165*SIN(Q280-2*R280)-125*SIN(R280)-110*SIN(P280+Q280)+148*SIN(P280-Q280)-55*SIN(2*S280-2*R280)</f>
        <v>7514.01570575301</v>
      </c>
      <c r="P280" s="32" t="n">
        <f aca="false">2*PI()*(0.374897+1325.55241*L280 - INT(0.374897+1325.55241*L280))</f>
        <v>0.537244333391148</v>
      </c>
      <c r="Q280" s="36" t="n">
        <f aca="false">2*PI()*(0.993133+99.997361*L280 - INT(0.993133+99.997361*L280))</f>
        <v>4.73535309779412</v>
      </c>
      <c r="R280" s="36" t="n">
        <f aca="false">2*PI()*(0.827361+1236.853086*L280 - INT(0.827361+1236.853086*L280))</f>
        <v>2.19287742824475</v>
      </c>
      <c r="S280" s="36" t="n">
        <f aca="false">2*PI()*(0.259086+1342.227825*L280 - INT(0.259086+1342.227825*L280))</f>
        <v>4.80792939957664</v>
      </c>
      <c r="T280" s="36" t="n">
        <f aca="false">S280+(O280+412*SIN(2*S280)+541*SIN(Q280))/206264.8062</f>
        <v>4.84135687256086</v>
      </c>
      <c r="U280" s="36" t="n">
        <f aca="false">S280-2*R280</f>
        <v>0.422174543087145</v>
      </c>
      <c r="V280" s="34" t="n">
        <f aca="false">-526*SIN(U280)+44*SIN(P280+U280)-31*SIN(-P280+U280)-23*SIN(Q280+U280)+11*SIN(-Q280+U280)-25*SIN(-2*P280+S280)+21*SIN(-P280+S280)</f>
        <v>-150.080236568675</v>
      </c>
      <c r="W280" s="36" t="n">
        <f aca="false">2*PI()*(N280+O280/1296000-INT(N280+O280/1296000))</f>
        <v>5.6265077022517</v>
      </c>
      <c r="X280" s="35" t="n">
        <f aca="false">W280*180/PI()</f>
        <v>322.375144736873</v>
      </c>
      <c r="Y280" s="36" t="n">
        <f aca="false">(18520*SIN(T280)+V280)/206264.8062</f>
        <v>-0.0897694326893127</v>
      </c>
      <c r="Z280" s="36" t="n">
        <f aca="false">Y280*180/PI()</f>
        <v>-5.14340962238135</v>
      </c>
      <c r="AA280" s="36" t="n">
        <f aca="false">COS(Y280)*COS(W280)</f>
        <v>0.788835740113361</v>
      </c>
      <c r="AB280" s="36" t="n">
        <f aca="false">COS(Y280)*SIN(W280)</f>
        <v>-0.608030630459756</v>
      </c>
      <c r="AC280" s="36" t="n">
        <f aca="false">SIN(Y280)</f>
        <v>-0.0896489126677939</v>
      </c>
      <c r="AD280" s="36" t="n">
        <f aca="false">COS($A$10*(23.4393-46.815*L280/3600))*AB280-SIN($A$10*(23.4393-46.815*L280/3600))*AC280</f>
        <v>-0.522213599738611</v>
      </c>
      <c r="AE280" s="36" t="n">
        <f aca="false">SIN($A$10*(23.4393-46.815*L280/3600))*AB280+COS($A$10*(23.4393-46.815*L280/3600))*AC280</f>
        <v>-0.324085068103805</v>
      </c>
      <c r="AF280" s="36" t="n">
        <f aca="false">SQRT(1-AE280*AE280)</f>
        <v>0.94602794283898</v>
      </c>
      <c r="AG280" s="35" t="n">
        <f aca="false">ATAN(AE280/AF280)/$A$10</f>
        <v>-18.9101533370082</v>
      </c>
      <c r="AH280" s="36" t="n">
        <f aca="false">IF(24*ATAN(AD280/(AA280+AF280))/PI()&gt;0,24*ATAN(AD280/(AA280+AF280))/PI(),24*ATAN(AD280/(AA280+AF280))/PI()+24)</f>
        <v>21.7663481107014</v>
      </c>
      <c r="AI280" s="63" t="n">
        <f aca="false">IF(M280-15*AH280&gt;0,M280-15*AH280,360+M280-15*AH280)</f>
        <v>63.1447964584905</v>
      </c>
      <c r="AJ280" s="32" t="n">
        <f aca="false">0.950724+0.051818*COS(P280)+0.009531*COS(2*R280-P280)+0.007843*COS(2*R280)+0.002824*COS(2*P280)+0.000857*COS(2*R280+P280)+0.000533*COS(2*R280-Q280)*(1-0.002495*(J280-2415020)/36525)+0.000401*COS(2*R280-Q280-P280)*(1-0.002495*(J280-2415020)/36525)+0.00032*COS(P280-Q280)*(1-0.002495*(J280-2415020)/36525)-0.000271*COS(R280)</f>
        <v>0.987755169016812</v>
      </c>
      <c r="AK280" s="36" t="n">
        <f aca="false">ASIN(COS($A$10*$B$5)*COS($A$10*AG280)*COS($A$10*AI280)+SIN($A$10*$B$5)*SIN($A$10*AG280))/$A$10</f>
        <v>1.51482822197527</v>
      </c>
      <c r="AL280" s="32" t="n">
        <f aca="false">ASIN((0.9983271+0.0016764*COS($A$10*2*$B$5))*COS($A$10*AK280)*SIN($A$10*AJ280))/$A$10</f>
        <v>0.985470462759305</v>
      </c>
      <c r="AM280" s="32" t="n">
        <f aca="false">AK280-AL280</f>
        <v>0.529357759215961</v>
      </c>
      <c r="AN280" s="35" t="n">
        <f aca="false"> MOD(280.4664567 + 360007.6982779*L280/10 + 0.03032028*L280^2/100 + L280^3/49931000,360)</f>
        <v>194.645800630871</v>
      </c>
      <c r="AO280" s="32" t="n">
        <f aca="false"> AN280 + (1.9146 - 0.004817*L280 - 0.000014*L280^2)*SIN(Q280)+ (0.019993 - 0.000101*L280)*SIN(2*Q280)+ 0.00029*SIN(3*Q280)</f>
        <v>192.732174727927</v>
      </c>
      <c r="AP280" s="32" t="n">
        <f aca="false">ACOS(COS(W280-$A$10*AO280)*COS(Y280))/$A$10</f>
        <v>129.452085312272</v>
      </c>
      <c r="AQ280" s="34" t="n">
        <f aca="false">180 - AP280 -0.1468*(1-0.0549*SIN(Q280))*SIN($A$10*AP280)/(1-0.0167*SIN($A$10*AO280))</f>
        <v>50.4287792248757</v>
      </c>
      <c r="AR280" s="64" t="n">
        <f aca="false">SIN($A$10*AI280)</f>
        <v>0.892150991128237</v>
      </c>
      <c r="AS280" s="64" t="n">
        <f aca="false">COS($A$10*AI280)*SIN($A$10*$B$5) - TAN($A$10*AG280)*COS($A$10*$B$5)</f>
        <v>0.566253522697869</v>
      </c>
      <c r="AT280" s="24" t="n">
        <f aca="false">IF(OR(AND(AR280*AS280&gt;0), AND(AR280&lt;0,AS280&gt;0)), MOD(ATAN2(AS280,AR280)/$A$10+360,360),  ATAN2(AS280,AR280)/$A$10)</f>
        <v>57.5964616704459</v>
      </c>
      <c r="AU280" s="39" t="n">
        <f aca="false"> 385000.56 + (-20905355*COS(P280) - 3699111*COS(2*R280-P280) - 2955968*COS(2*R280) - 569925*COS(2*P280) + (1-0.002516*L280)*48888*COS(Q280) - 3149*COS(2*S280)  +246158*COS(2*R280-2*P280) -(1 - 0.002516*L280)*152138*COS(2*R280-Q280-P280) -170733*COS(2*R280+P280) -(1 - 0.002516*L280)*204586*COS(2*R280-Q280) -(1 - 0.002516*L280)*129620*COS(Q280-P280)  + 108743*COS(R280) +(1-0.002516*L280)*104755*COS(Q280+P280) +10321*COS(2*R280-2*S280) +79661*COS(P280-2*S280) -34782*COS(4*R280-P280) -23210*COS(3*P280)  -21636*COS(4*R280-2*P280) +(1 - 0.002516*L280)*24208*COS(2*R280+Q280-P280) +(1 - 0.002516*L280)*30824*COS(2*R280+Q280) -8379*COS(R280-P280) -(1 - 0.002516*L280)*16675*COS(R280+Q280)  -(1 - 0.002516*L280)*12831*COS(2*R280-Q280+P280) -10445*COS(2*R280+2*P280) -11650*COS(4*R280) +14403*COS(2*R280-3*P280) -(1-0.002516*L280)*7003*COS(Q280-2*P280)  + (1 - 0.002516*L280)*10056*COS(2*R280-Q280-2*P280) +6322*COS(R280+P280) -(1 - 0.002516*L280)*(1-0.002516*L280)*9884*COS(2*R280-2*Q280) +(1-0.002516*L280)*5751*COS(Q280+2*P280) - (1-0.002516*L280)^2*4950*COS(2*R280-2*Q280-P280)  +4130*COS(2*R280+P280-2*S280) -(1-0.002516*L280)*3958*COS(4*R280-Q280-P280) +3258*COS(3*R280-P280) +(1 - 0.002516*L280)*2616*COS(2*R280+Q280+P280) -(1 - 0.002516*L280)*1897*COS(4*R280-Q280-2*P280)  -(1-0.002516*L280)^2*2117*COS(2*Q280-P280) +(1-0.002516*L280)^2*2354*COS(2*R280+2*Q280-P280) -1423*COS(4*R280+P280) -1117*COS(4*P280) -(1-0.002516*L280)*1571*COS(4*R280-Q280)  -1739*COS(R280-2*P280) -4421*COS(2*P280-2*S280) +(1-0.002516*L280)^2*1165*COS(2*Q280+P280) +8752*COS(2*R280-P280-2*S280))/1000</f>
        <v>369903.130398636</v>
      </c>
      <c r="AV280" s="54" t="n">
        <f aca="false">ATAN(0.99664719*TAN($A$10*input!$E$2))</f>
        <v>0.871010436227447</v>
      </c>
      <c r="AW280" s="54" t="n">
        <f aca="false">COS(AV280)</f>
        <v>0.644053912545845</v>
      </c>
      <c r="AX280" s="54" t="n">
        <f aca="false">0.99664719*SIN(AV280)</f>
        <v>0.762415269897027</v>
      </c>
      <c r="AY280" s="54" t="n">
        <f aca="false">6378.14/AU280</f>
        <v>0.0172427305308999</v>
      </c>
      <c r="AZ280" s="55" t="n">
        <f aca="false">M280-15*AH280</f>
        <v>-296.855203541509</v>
      </c>
      <c r="BA280" s="56" t="n">
        <f aca="false">COS($A$10*AG280)*SIN($A$10*AZ280)</f>
        <v>0.843999766838802</v>
      </c>
      <c r="BB280" s="56" t="n">
        <f aca="false">COS($A$10*AG280)*COS($A$10*AZ280)-AW280*AY280</f>
        <v>0.416250882359354</v>
      </c>
      <c r="BC280" s="56" t="n">
        <f aca="false">SIN($A$10*AG280)-AX280*AY280</f>
        <v>-0.337231189155283</v>
      </c>
      <c r="BD280" s="57" t="n">
        <f aca="false">SQRT(BA280^2+BB280^2+BC280^2)</f>
        <v>0.999662582288633</v>
      </c>
      <c r="BE280" s="58" t="n">
        <f aca="false">AU280*BD280</f>
        <v>369778.31853095</v>
      </c>
    </row>
    <row r="281" customFormat="false" ht="15" hidden="false" customHeight="false" outlineLevel="0" collapsed="false">
      <c r="D281" s="41" t="n">
        <f aca="false">K281-INT(275*E281/9)+IF($A$8="common year",2,1)*INT((E281+9)/12)+30</f>
        <v>7</v>
      </c>
      <c r="E281" s="41" t="n">
        <f aca="false">IF(K281&lt;32,1,INT(9*(IF($A$8="common year",2,1)+K281)/275+0.98))</f>
        <v>10</v>
      </c>
      <c r="F281" s="42" t="n">
        <f aca="false">AM281</f>
        <v>11.6608027391743</v>
      </c>
      <c r="G281" s="60" t="n">
        <f aca="false">F281+1.02/(TAN($A$10*(F281+10.3/(F281+5.11)))*60)</f>
        <v>11.7389357839974</v>
      </c>
      <c r="H281" s="43" t="n">
        <f aca="false">100*(1+COS($A$10*AQ281))/2</f>
        <v>89.77815275119</v>
      </c>
      <c r="I281" s="43" t="n">
        <f aca="false">IF(AI281&gt;180,AT281-180,AT281+180)</f>
        <v>230.204599771577</v>
      </c>
      <c r="J281" s="61" t="n">
        <f aca="false">$J$2+K280</f>
        <v>2459859.5</v>
      </c>
      <c r="K281" s="21" t="n">
        <v>280</v>
      </c>
      <c r="L281" s="62" t="n">
        <f aca="false">(J281-2451545)/36525</f>
        <v>0.227638603696099</v>
      </c>
      <c r="M281" s="63" t="n">
        <f aca="false">MOD(280.46061837+360.98564736629*(J281-2451545)+0.000387933*L281^2-L281^3/38710000+$B$7,360)</f>
        <v>30.6256654905155</v>
      </c>
      <c r="N281" s="30" t="n">
        <f aca="false">0.606433+1336.855225*L281 - INT(0.606433+1336.855225*L281)</f>
        <v>0.926289762833676</v>
      </c>
      <c r="O281" s="35" t="n">
        <f aca="false">22640*SIN(P281)-4586*SIN(P281-2*R281)+2370*SIN(2*R281)+769*SIN(2*P281)-668*SIN(Q281)-412*SIN(2*S281)-212*SIN(2*P281-2*R281)-206*SIN(P281+Q281-2*R281)+192*SIN(P281+2*R281)-165*SIN(Q281-2*R281)-125*SIN(R281)-110*SIN(P281+Q281)+148*SIN(P281-Q281)-55*SIN(2*S281-2*R281)</f>
        <v>11277.9671300755</v>
      </c>
      <c r="P281" s="32" t="n">
        <f aca="false">2*PI()*(0.374897+1325.55241*L281 - INT(0.374897+1325.55241*L281))</f>
        <v>0.765271477166966</v>
      </c>
      <c r="Q281" s="36" t="n">
        <f aca="false">2*PI()*(0.993133+99.997361*L281 - INT(0.993133+99.997361*L281))</f>
        <v>4.7525550676611</v>
      </c>
      <c r="R281" s="36" t="n">
        <f aca="false">2*PI()*(0.827361+1236.853086*L281 - INT(0.827361+1236.853086*L281))</f>
        <v>2.40564613836377</v>
      </c>
      <c r="S281" s="36" t="n">
        <f aca="false">2*PI()*(0.259086+1342.227825*L281 - INT(0.259086+1342.227825*L281))</f>
        <v>5.03882511891764</v>
      </c>
      <c r="T281" s="36" t="n">
        <f aca="false">S281+(O281+412*SIN(2*S281)+541*SIN(Q281))/206264.8062</f>
        <v>5.08966813876514</v>
      </c>
      <c r="U281" s="36" t="n">
        <f aca="false">S281-2*R281</f>
        <v>0.227532842190102</v>
      </c>
      <c r="V281" s="34" t="n">
        <f aca="false">-526*SIN(U281)+44*SIN(P281+U281)-31*SIN(-P281+U281)-23*SIN(Q281+U281)+11*SIN(-Q281+U281)-25*SIN(-2*P281+S281)+21*SIN(-P281+S281)</f>
        <v>-42.9802601672761</v>
      </c>
      <c r="W281" s="36" t="n">
        <f aca="false">2*PI()*(N281+O281/1296000-INT(N281+O281/1296000))</f>
        <v>5.87472735562506</v>
      </c>
      <c r="X281" s="35" t="n">
        <f aca="false">W281*180/PI()</f>
        <v>336.597083267367</v>
      </c>
      <c r="Y281" s="36" t="n">
        <f aca="false">(18520*SIN(T281)+V281)/206264.8062</f>
        <v>-0.0836811505662644</v>
      </c>
      <c r="Z281" s="36" t="n">
        <f aca="false">Y281*180/PI()</f>
        <v>-4.79457675224573</v>
      </c>
      <c r="AA281" s="36" t="n">
        <f aca="false">COS(Y281)*COS(W281)</f>
        <v>0.914523048043558</v>
      </c>
      <c r="AB281" s="36" t="n">
        <f aca="false">COS(Y281)*SIN(W281)</f>
        <v>-0.395804736642873</v>
      </c>
      <c r="AC281" s="36" t="n">
        <f aca="false">SIN(Y281)</f>
        <v>-0.0835835213913962</v>
      </c>
      <c r="AD281" s="36" t="n">
        <f aca="false">COS($A$10*(23.4393-46.815*L281/3600))*AB281-SIN($A$10*(23.4393-46.815*L281/3600))*AC281</f>
        <v>-0.329908190277738</v>
      </c>
      <c r="AE281" s="36" t="n">
        <f aca="false">SIN($A$10*(23.4393-46.815*L281/3600))*AB281+COS($A$10*(23.4393-46.815*L281/3600))*AC281</f>
        <v>-0.234111470425497</v>
      </c>
      <c r="AF281" s="36" t="n">
        <f aca="false">SQRT(1-AE281*AE281)</f>
        <v>0.972209761016218</v>
      </c>
      <c r="AG281" s="35" t="n">
        <f aca="false">ATAN(AE281/AF281)/$A$10</f>
        <v>-13.5392527948487</v>
      </c>
      <c r="AH281" s="36" t="n">
        <f aca="false">IF(24*ATAN(AD281/(AA281+AF281))/PI()&gt;0,24*ATAN(AD281/(AA281+AF281))/PI(),24*ATAN(AD281/(AA281+AF281))/PI()+24)</f>
        <v>22.6775615789522</v>
      </c>
      <c r="AI281" s="63" t="n">
        <f aca="false">IF(M281-15*AH281&gt;0,M281-15*AH281,360+M281-15*AH281)</f>
        <v>50.4622418062332</v>
      </c>
      <c r="AJ281" s="32" t="n">
        <f aca="false">0.950724+0.051818*COS(P281)+0.009531*COS(2*R281-P281)+0.007843*COS(2*R281)+0.002824*COS(2*P281)+0.000857*COS(2*R281+P281)+0.000533*COS(2*R281-Q281)*(1-0.002495*(J281-2415020)/36525)+0.000401*COS(2*R281-Q281-P281)*(1-0.002495*(J281-2415020)/36525)+0.00032*COS(P281-Q281)*(1-0.002495*(J281-2415020)/36525)-0.000271*COS(R281)</f>
        <v>0.984567089428137</v>
      </c>
      <c r="AK281" s="36" t="n">
        <f aca="false">ASIN(COS($A$10*$B$5)*COS($A$10*AG281)*COS($A$10*AI281)+SIN($A$10*$B$5)*SIN($A$10*AG281))/$A$10</f>
        <v>12.6196949724406</v>
      </c>
      <c r="AL281" s="32" t="n">
        <f aca="false">ASIN((0.9983271+0.0016764*COS($A$10*2*$B$5))*COS($A$10*AK281)*SIN($A$10*AJ281))/$A$10</f>
        <v>0.958892233266286</v>
      </c>
      <c r="AM281" s="32" t="n">
        <f aca="false">AK281-AL281</f>
        <v>11.6608027391743</v>
      </c>
      <c r="AN281" s="35" t="n">
        <f aca="false"> MOD(280.4664567 + 360007.6982779*L281/10 + 0.03032028*L281^2/100 + L281^3/49931000,360)</f>
        <v>195.631447994752</v>
      </c>
      <c r="AO281" s="32" t="n">
        <f aca="false"> AN281 + (1.9146 - 0.004817*L281 - 0.000014*L281^2)*SIN(Q281)+ (0.019993 - 0.000101*L281)*SIN(2*Q281)+ 0.00029*SIN(3*Q281)</f>
        <v>193.71817397662</v>
      </c>
      <c r="AP281" s="32" t="n">
        <f aca="false">ACOS(COS(W281-$A$10*AO281)*COS(Y281))/$A$10</f>
        <v>142.614818846216</v>
      </c>
      <c r="AQ281" s="34" t="n">
        <f aca="false">180 - AP281 -0.1468*(1-0.0549*SIN(Q281))*SIN($A$10*AP281)/(1-0.0167*SIN($A$10*AO281))</f>
        <v>37.2915300031159</v>
      </c>
      <c r="AR281" s="64" t="n">
        <f aca="false">SIN($A$10*AI281)</f>
        <v>0.771205237263807</v>
      </c>
      <c r="AS281" s="64" t="n">
        <f aca="false">COS($A$10*AI281)*SIN($A$10*$B$5) - TAN($A$10*AG281)*COS($A$10*$B$5)</f>
        <v>0.642439094992318</v>
      </c>
      <c r="AT281" s="24" t="n">
        <f aca="false">IF(OR(AND(AR281*AS281&gt;0), AND(AR281&lt;0,AS281&gt;0)), MOD(ATAN2(AS281,AR281)/$A$10+360,360),  ATAN2(AS281,AR281)/$A$10)</f>
        <v>50.204599771577</v>
      </c>
      <c r="AU281" s="39" t="n">
        <f aca="false"> 385000.56 + (-20905355*COS(P281) - 3699111*COS(2*R281-P281) - 2955968*COS(2*R281) - 569925*COS(2*P281) + (1-0.002516*L281)*48888*COS(Q281) - 3149*COS(2*S281)  +246158*COS(2*R281-2*P281) -(1 - 0.002516*L281)*152138*COS(2*R281-Q281-P281) -170733*COS(2*R281+P281) -(1 - 0.002516*L281)*204586*COS(2*R281-Q281) -(1 - 0.002516*L281)*129620*COS(Q281-P281)  + 108743*COS(R281) +(1-0.002516*L281)*104755*COS(Q281+P281) +10321*COS(2*R281-2*S281) +79661*COS(P281-2*S281) -34782*COS(4*R281-P281) -23210*COS(3*P281)  -21636*COS(4*R281-2*P281) +(1 - 0.002516*L281)*24208*COS(2*R281+Q281-P281) +(1 - 0.002516*L281)*30824*COS(2*R281+Q281) -8379*COS(R281-P281) -(1 - 0.002516*L281)*16675*COS(R281+Q281)  -(1 - 0.002516*L281)*12831*COS(2*R281-Q281+P281) -10445*COS(2*R281+2*P281) -11650*COS(4*R281) +14403*COS(2*R281-3*P281) -(1-0.002516*L281)*7003*COS(Q281-2*P281)  + (1 - 0.002516*L281)*10056*COS(2*R281-Q281-2*P281) +6322*COS(R281+P281) -(1 - 0.002516*L281)*(1-0.002516*L281)*9884*COS(2*R281-2*Q281) +(1-0.002516*L281)*5751*COS(Q281+2*P281) - (1-0.002516*L281)^2*4950*COS(2*R281-2*Q281-P281)  +4130*COS(2*R281+P281-2*S281) -(1-0.002516*L281)*3958*COS(4*R281-Q281-P281) +3258*COS(3*R281-P281) +(1 - 0.002516*L281)*2616*COS(2*R281+Q281+P281) -(1 - 0.002516*L281)*1897*COS(4*R281-Q281-2*P281)  -(1-0.002516*L281)^2*2117*COS(2*Q281-P281) +(1-0.002516*L281)^2*2354*COS(2*R281+2*Q281-P281) -1423*COS(4*R281+P281) -1117*COS(4*P281) -(1-0.002516*L281)*1571*COS(4*R281-Q281)  -1739*COS(R281-2*P281) -4421*COS(2*P281-2*S281) +(1-0.002516*L281)^2*1165*COS(2*Q281+P281) +8752*COS(2*R281-P281-2*S281))/1000</f>
        <v>371206.952623731</v>
      </c>
      <c r="AV281" s="54" t="n">
        <f aca="false">ATAN(0.99664719*TAN($A$10*input!$E$2))</f>
        <v>0.871010436227447</v>
      </c>
      <c r="AW281" s="54" t="n">
        <f aca="false">COS(AV281)</f>
        <v>0.644053912545845</v>
      </c>
      <c r="AX281" s="54" t="n">
        <f aca="false">0.99664719*SIN(AV281)</f>
        <v>0.762415269897027</v>
      </c>
      <c r="AY281" s="54" t="n">
        <f aca="false">6378.14/AU281</f>
        <v>0.0171821673999332</v>
      </c>
      <c r="AZ281" s="55" t="n">
        <f aca="false">M281-15*AH281</f>
        <v>-309.537758193767</v>
      </c>
      <c r="BA281" s="56" t="n">
        <f aca="false">COS($A$10*AG281)*SIN($A$10*AZ281)</f>
        <v>0.749773259414701</v>
      </c>
      <c r="BB281" s="56" t="n">
        <f aca="false">COS($A$10*AG281)*COS($A$10*AZ281)-AW281*AY281</f>
        <v>0.607829450914925</v>
      </c>
      <c r="BC281" s="56" t="n">
        <f aca="false">SIN($A$10*AG281)-AX281*AY281</f>
        <v>-0.247211417221133</v>
      </c>
      <c r="BD281" s="57" t="n">
        <f aca="false">SQRT(BA281^2+BB281^2+BC281^2)</f>
        <v>0.996358402753429</v>
      </c>
      <c r="BE281" s="58" t="n">
        <f aca="false">AU281*BD281</f>
        <v>369855.166407148</v>
      </c>
    </row>
    <row r="282" customFormat="false" ht="15" hidden="false" customHeight="false" outlineLevel="0" collapsed="false">
      <c r="D282" s="41" t="n">
        <f aca="false">K282-INT(275*E282/9)+IF($A$8="common year",2,1)*INT((E282+9)/12)+30</f>
        <v>8</v>
      </c>
      <c r="E282" s="41" t="n">
        <f aca="false">IF(K282&lt;32,1,INT(9*(IF($A$8="common year",2,1)+K282)/275+0.98))</f>
        <v>10</v>
      </c>
      <c r="F282" s="42" t="n">
        <f aca="false">AM282</f>
        <v>22.5992755169451</v>
      </c>
      <c r="G282" s="60" t="n">
        <f aca="false">F282+1.02/(TAN($A$10*(F282+10.3/(F282+5.11)))*60)</f>
        <v>22.6393814492935</v>
      </c>
      <c r="H282" s="43" t="n">
        <f aca="false">100*(1+COS($A$10*AQ282))/2</f>
        <v>95.5797941594095</v>
      </c>
      <c r="I282" s="43" t="n">
        <f aca="false">IF(AI282&gt;180,AT282-180,AT282+180)</f>
        <v>222.301541017367</v>
      </c>
      <c r="J282" s="61" t="n">
        <f aca="false">$J$2+K281</f>
        <v>2459860.5</v>
      </c>
      <c r="K282" s="21" t="n">
        <v>281</v>
      </c>
      <c r="L282" s="62" t="n">
        <f aca="false">(J282-2451545)/36525</f>
        <v>0.22766598220397</v>
      </c>
      <c r="M282" s="63" t="n">
        <f aca="false">MOD(280.46061837+360.98564736629*(J282-2451545)+0.000387933*L282^2-L282^3/38710000+$B$7,360)</f>
        <v>31.6113128615543</v>
      </c>
      <c r="N282" s="30" t="n">
        <f aca="false">0.606433+1336.855225*L282 - INT(0.606433+1336.855225*L282)</f>
        <v>0.962890864134124</v>
      </c>
      <c r="O282" s="35" t="n">
        <f aca="false">22640*SIN(P282)-4586*SIN(P282-2*R282)+2370*SIN(2*R282)+769*SIN(2*P282)-668*SIN(Q282)-412*SIN(2*S282)-212*SIN(2*P282-2*R282)-206*SIN(P282+Q282-2*R282)+192*SIN(P282+2*R282)-165*SIN(Q282-2*R282)-125*SIN(R282)-110*SIN(P282+Q282)+148*SIN(P282-Q282)-55*SIN(2*S282-2*R282)</f>
        <v>14629.5159400464</v>
      </c>
      <c r="P282" s="32" t="n">
        <f aca="false">2*PI()*(0.374897+1325.55241*L282 - INT(0.374897+1325.55241*L282))</f>
        <v>0.993298620942427</v>
      </c>
      <c r="Q282" s="36" t="n">
        <f aca="false">2*PI()*(0.993133+99.997361*L282 - INT(0.993133+99.997361*L282))</f>
        <v>4.76975703752811</v>
      </c>
      <c r="R282" s="36" t="n">
        <f aca="false">2*PI()*(0.827361+1236.853086*L282 - INT(0.827361+1236.853086*L282))</f>
        <v>2.6184148484828</v>
      </c>
      <c r="S282" s="36" t="n">
        <f aca="false">2*PI()*(0.259086+1342.227825*L282 - INT(0.259086+1342.227825*L282))</f>
        <v>5.26972083825865</v>
      </c>
      <c r="T282" s="36" t="n">
        <f aca="false">S282+(O282+412*SIN(2*S282)+541*SIN(Q282))/206264.8062</f>
        <v>5.33623498554407</v>
      </c>
      <c r="U282" s="36" t="n">
        <f aca="false">S282-2*R282</f>
        <v>0.0328911412930566</v>
      </c>
      <c r="V282" s="34" t="n">
        <f aca="false">-526*SIN(U282)+44*SIN(P282+U282)-31*SIN(-P282+U282)-23*SIN(Q282+U282)+11*SIN(-Q282+U282)-25*SIN(-2*P282+S282)+21*SIN(-P282+S282)</f>
        <v>64.1329799905321</v>
      </c>
      <c r="W282" s="36" t="n">
        <f aca="false">2*PI()*(N282+O282/1296000-INT(N282+O282/1296000))</f>
        <v>6.12094762470243</v>
      </c>
      <c r="X282" s="35" t="n">
        <f aca="false">W282*180/PI()</f>
        <v>350.704465516075</v>
      </c>
      <c r="Y282" s="36" t="n">
        <f aca="false">(18520*SIN(T282)+V282)/206264.8062</f>
        <v>-0.0725639965226084</v>
      </c>
      <c r="Z282" s="36" t="n">
        <f aca="false">Y282*180/PI()</f>
        <v>-4.15761074534745</v>
      </c>
      <c r="AA282" s="36" t="n">
        <f aca="false">COS(Y282)*COS(W282)</f>
        <v>0.984271254240275</v>
      </c>
      <c r="AB282" s="36" t="n">
        <f aca="false">COS(Y282)*SIN(W282)</f>
        <v>-0.161101830985493</v>
      </c>
      <c r="AC282" s="36" t="n">
        <f aca="false">SIN(Y282)</f>
        <v>-0.0725003319261219</v>
      </c>
      <c r="AD282" s="36" t="n">
        <f aca="false">COS($A$10*(23.4393-46.815*L282/3600))*AB282-SIN($A$10*(23.4393-46.815*L282/3600))*AC282</f>
        <v>-0.118975792264663</v>
      </c>
      <c r="AE282" s="36" t="n">
        <f aca="false">SIN($A$10*(23.4393-46.815*L282/3600))*AB282+COS($A$10*(23.4393-46.815*L282/3600))*AC282</f>
        <v>-0.130594253056067</v>
      </c>
      <c r="AF282" s="36" t="n">
        <f aca="false">SQRT(1-AE282*AE282)</f>
        <v>0.991435898618124</v>
      </c>
      <c r="AG282" s="35" t="n">
        <f aca="false">ATAN(AE282/AF282)/$A$10</f>
        <v>-7.50393326591389</v>
      </c>
      <c r="AH282" s="36" t="n">
        <f aca="false">IF(24*ATAN(AD282/(AA282+AF282))/PI()&gt;0,24*ATAN(AD282/(AA282+AF282))/PI(),24*ATAN(AD282/(AA282+AF282))/PI()+24)</f>
        <v>23.5405129724813</v>
      </c>
      <c r="AI282" s="63" t="n">
        <f aca="false">IF(M282-15*AH282&gt;0,M282-15*AH282,360+M282-15*AH282)</f>
        <v>38.5036182743345</v>
      </c>
      <c r="AJ282" s="32" t="n">
        <f aca="false">0.950724+0.051818*COS(P282)+0.009531*COS(2*R282-P282)+0.007843*COS(2*R282)+0.002824*COS(2*P282)+0.000857*COS(2*R282+P282)+0.000533*COS(2*R282-Q282)*(1-0.002495*(J282-2415020)/36525)+0.000401*COS(2*R282-Q282-P282)*(1-0.002495*(J282-2415020)/36525)+0.00032*COS(P282-Q282)*(1-0.002495*(J282-2415020)/36525)-0.000271*COS(R282)</f>
        <v>0.97914656828367</v>
      </c>
      <c r="AK282" s="36" t="n">
        <f aca="false">ASIN(COS($A$10*$B$5)*COS($A$10*AG282)*COS($A$10*AI282)+SIN($A$10*$B$5)*SIN($A$10*AG282))/$A$10</f>
        <v>23.4954719061072</v>
      </c>
      <c r="AL282" s="32" t="n">
        <f aca="false">ASIN((0.9983271+0.0016764*COS($A$10*2*$B$5))*COS($A$10*AK282)*SIN($A$10*AJ282))/$A$10</f>
        <v>0.896196389162175</v>
      </c>
      <c r="AM282" s="32" t="n">
        <f aca="false">AK282-AL282</f>
        <v>22.5992755169451</v>
      </c>
      <c r="AN282" s="35" t="n">
        <f aca="false"> MOD(280.4664567 + 360007.6982779*L282/10 + 0.03032028*L282^2/100 + L282^3/49931000,360)</f>
        <v>196.617095358637</v>
      </c>
      <c r="AO282" s="32" t="n">
        <f aca="false"> AN282 + (1.9146 - 0.004817*L282 - 0.000014*L282^2)*SIN(Q282)+ (0.019993 - 0.000101*L282)*SIN(2*Q282)+ 0.00029*SIN(3*Q282)</f>
        <v>194.704740105056</v>
      </c>
      <c r="AP282" s="32" t="n">
        <f aca="false">ACOS(COS(W282-$A$10*AO282)*COS(Y282))/$A$10</f>
        <v>155.663288394395</v>
      </c>
      <c r="AQ282" s="34" t="n">
        <f aca="false">180 - AP282 -0.1468*(1-0.0549*SIN(Q282))*SIN($A$10*AP282)/(1-0.0167*SIN($A$10*AO282))</f>
        <v>24.2731691776575</v>
      </c>
      <c r="AR282" s="64" t="n">
        <f aca="false">SIN($A$10*AI282)</f>
        <v>0.622564057727772</v>
      </c>
      <c r="AS282" s="64" t="n">
        <f aca="false">COS($A$10*AI282)*SIN($A$10*$B$5) - TAN($A$10*AG282)*COS($A$10*$B$5)</f>
        <v>0.68415199935511</v>
      </c>
      <c r="AT282" s="24" t="n">
        <f aca="false">IF(OR(AND(AR282*AS282&gt;0), AND(AR282&lt;0,AS282&gt;0)), MOD(ATAN2(AS282,AR282)/$A$10+360,360),  ATAN2(AS282,AR282)/$A$10)</f>
        <v>42.301541017367</v>
      </c>
      <c r="AU282" s="39" t="n">
        <f aca="false"> 385000.56 + (-20905355*COS(P282) - 3699111*COS(2*R282-P282) - 2955968*COS(2*R282) - 569925*COS(2*P282) + (1-0.002516*L282)*48888*COS(Q282) - 3149*COS(2*S282)  +246158*COS(2*R282-2*P282) -(1 - 0.002516*L282)*152138*COS(2*R282-Q282-P282) -170733*COS(2*R282+P282) -(1 - 0.002516*L282)*204586*COS(2*R282-Q282) -(1 - 0.002516*L282)*129620*COS(Q282-P282)  + 108743*COS(R282) +(1-0.002516*L282)*104755*COS(Q282+P282) +10321*COS(2*R282-2*S282) +79661*COS(P282-2*S282) -34782*COS(4*R282-P282) -23210*COS(3*P282)  -21636*COS(4*R282-2*P282) +(1 - 0.002516*L282)*24208*COS(2*R282+Q282-P282) +(1 - 0.002516*L282)*30824*COS(2*R282+Q282) -8379*COS(R282-P282) -(1 - 0.002516*L282)*16675*COS(R282+Q282)  -(1 - 0.002516*L282)*12831*COS(2*R282-Q282+P282) -10445*COS(2*R282+2*P282) -11650*COS(4*R282) +14403*COS(2*R282-3*P282) -(1-0.002516*L282)*7003*COS(Q282-2*P282)  + (1 - 0.002516*L282)*10056*COS(2*R282-Q282-2*P282) +6322*COS(R282+P282) -(1 - 0.002516*L282)*(1-0.002516*L282)*9884*COS(2*R282-2*Q282) +(1-0.002516*L282)*5751*COS(Q282+2*P282) - (1-0.002516*L282)^2*4950*COS(2*R282-2*Q282-P282)  +4130*COS(2*R282+P282-2*S282) -(1-0.002516*L282)*3958*COS(4*R282-Q282-P282) +3258*COS(3*R282-P282) +(1 - 0.002516*L282)*2616*COS(2*R282+Q282+P282) -(1 - 0.002516*L282)*1897*COS(4*R282-Q282-2*P282)  -(1-0.002516*L282)^2*2117*COS(2*Q282-P282) +(1-0.002516*L282)^2*2354*COS(2*R282+2*Q282-P282) -1423*COS(4*R282+P282) -1117*COS(4*P282) -(1-0.002516*L282)*1571*COS(4*R282-Q282)  -1739*COS(R282-2*P282) -4421*COS(2*P282-2*S282) +(1-0.002516*L282)^2*1165*COS(2*Q282+P282) +8752*COS(2*R282-P282-2*S282))/1000</f>
        <v>373337.568290348</v>
      </c>
      <c r="AV282" s="54" t="n">
        <f aca="false">ATAN(0.99664719*TAN($A$10*input!$E$2))</f>
        <v>0.871010436227447</v>
      </c>
      <c r="AW282" s="54" t="n">
        <f aca="false">COS(AV282)</f>
        <v>0.644053912545845</v>
      </c>
      <c r="AX282" s="54" t="n">
        <f aca="false">0.99664719*SIN(AV282)</f>
        <v>0.762415269897027</v>
      </c>
      <c r="AY282" s="54" t="n">
        <f aca="false">6378.14/AU282</f>
        <v>0.0170841097755254</v>
      </c>
      <c r="AZ282" s="55" t="n">
        <f aca="false">M282-15*AH282</f>
        <v>-321.496381725666</v>
      </c>
      <c r="BA282" s="56" t="n">
        <f aca="false">COS($A$10*AG282)*SIN($A$10*AZ282)</f>
        <v>0.617232356020679</v>
      </c>
      <c r="BB282" s="56" t="n">
        <f aca="false">COS($A$10*AG282)*COS($A$10*AZ282)-AW282*AY282</f>
        <v>0.76486375634137</v>
      </c>
      <c r="BC282" s="56" t="n">
        <f aca="false">SIN($A$10*AG282)-AX282*AY282</f>
        <v>-0.143619439221525</v>
      </c>
      <c r="BD282" s="57" t="n">
        <f aca="false">SQRT(BA282^2+BB282^2+BC282^2)</f>
        <v>0.993286912430529</v>
      </c>
      <c r="BE282" s="58" t="n">
        <f aca="false">AU282*BD282</f>
        <v>370831.320501442</v>
      </c>
    </row>
    <row r="283" customFormat="false" ht="15" hidden="false" customHeight="false" outlineLevel="0" collapsed="false">
      <c r="D283" s="41" t="n">
        <f aca="false">K283-INT(275*E283/9)+IF($A$8="common year",2,1)*INT((E283+9)/12)+30</f>
        <v>9</v>
      </c>
      <c r="E283" s="41" t="n">
        <f aca="false">IF(K283&lt;32,1,INT(9*(IF($A$8="common year",2,1)+K283)/275+0.98))</f>
        <v>10</v>
      </c>
      <c r="F283" s="42" t="n">
        <f aca="false">AM283</f>
        <v>33.0158533300875</v>
      </c>
      <c r="G283" s="60" t="n">
        <f aca="false">F283+1.02/(TAN($A$10*(F283+10.3/(F283+5.11)))*60)</f>
        <v>33.0417471315544</v>
      </c>
      <c r="H283" s="43" t="n">
        <f aca="false">100*(1+COS($A$10*AQ283))/2</f>
        <v>98.9944341878014</v>
      </c>
      <c r="I283" s="43" t="n">
        <f aca="false">IF(AI283&gt;180,AT283-180,AT283+180)</f>
        <v>213.187051900332</v>
      </c>
      <c r="J283" s="61" t="n">
        <f aca="false">$J$2+K282</f>
        <v>2459861.5</v>
      </c>
      <c r="K283" s="21" t="n">
        <v>282</v>
      </c>
      <c r="L283" s="62" t="n">
        <f aca="false">(J283-2451545)/36525</f>
        <v>0.227693360711841</v>
      </c>
      <c r="M283" s="63" t="n">
        <f aca="false">MOD(280.46061837+360.98564736629*(J283-2451545)+0.000387933*L283^2-L283^3/38710000+$B$7,360)</f>
        <v>32.5969602321275</v>
      </c>
      <c r="N283" s="30" t="n">
        <f aca="false">0.606433+1336.855225*L283 - INT(0.606433+1336.855225*L283)</f>
        <v>0.999491965434629</v>
      </c>
      <c r="O283" s="35" t="n">
        <f aca="false">22640*SIN(P283)-4586*SIN(P283-2*R283)+2370*SIN(2*R283)+769*SIN(2*P283)-668*SIN(Q283)-412*SIN(2*S283)-212*SIN(2*P283-2*R283)-206*SIN(P283+Q283-2*R283)+192*SIN(P283+2*R283)-165*SIN(Q283-2*R283)-125*SIN(R283)-110*SIN(P283+Q283)+148*SIN(P283-Q283)-55*SIN(2*S283-2*R283)</f>
        <v>17293.5068571333</v>
      </c>
      <c r="P283" s="32" t="n">
        <f aca="false">2*PI()*(0.374897+1325.55241*L283 - INT(0.374897+1325.55241*L283))</f>
        <v>1.22132576471824</v>
      </c>
      <c r="Q283" s="36" t="n">
        <f aca="false">2*PI()*(0.993133+99.997361*L283 - INT(0.993133+99.997361*L283))</f>
        <v>4.7869590073951</v>
      </c>
      <c r="R283" s="36" t="n">
        <f aca="false">2*PI()*(0.827361+1236.853086*L283 - INT(0.827361+1236.853086*L283))</f>
        <v>2.83118355860182</v>
      </c>
      <c r="S283" s="36" t="n">
        <f aca="false">2*PI()*(0.259086+1342.227825*L283 - INT(0.259086+1342.227825*L283))</f>
        <v>5.50061655759965</v>
      </c>
      <c r="T283" s="36" t="n">
        <f aca="false">S283+(O283+412*SIN(2*S283)+541*SIN(Q283))/206264.8062</f>
        <v>5.57984489143057</v>
      </c>
      <c r="U283" s="36" t="n">
        <f aca="false">S283-2*R283</f>
        <v>-0.161750559603988</v>
      </c>
      <c r="V283" s="34" t="n">
        <f aca="false">-526*SIN(U283)+44*SIN(P283+U283)-31*SIN(-P283+U283)-23*SIN(Q283+U283)+11*SIN(-Q283+U283)-25*SIN(-2*P283+S283)+21*SIN(-P283+S283)</f>
        <v>165.997776998956</v>
      </c>
      <c r="W283" s="36" t="n">
        <f aca="false">2*PI()*(N283+O283/1296000-INT(N283+O283/1296000))</f>
        <v>0.0806492118703194</v>
      </c>
      <c r="X283" s="35" t="n">
        <f aca="false">W283*180/PI()</f>
        <v>4.62085946122568</v>
      </c>
      <c r="Y283" s="36" t="n">
        <f aca="false">(18520*SIN(T283)+V283)/206264.8062</f>
        <v>-0.057266985748858</v>
      </c>
      <c r="Z283" s="36" t="n">
        <f aca="false">Y283*180/PI()</f>
        <v>-3.2811565888454</v>
      </c>
      <c r="AA283" s="36" t="n">
        <f aca="false">COS(Y283)*COS(W283)</f>
        <v>0.995115637304386</v>
      </c>
      <c r="AB283" s="36" t="n">
        <f aca="false">COS(Y283)*SIN(W283)</f>
        <v>0.0804297471405203</v>
      </c>
      <c r="AC283" s="36" t="n">
        <f aca="false">SIN(Y283)</f>
        <v>-0.0572356896280517</v>
      </c>
      <c r="AD283" s="36" t="n">
        <f aca="false">COS($A$10*(23.4393-46.815*L283/3600))*AB283-SIN($A$10*(23.4393-46.815*L283/3600))*AC283</f>
        <v>0.096558842728327</v>
      </c>
      <c r="AE283" s="36" t="n">
        <f aca="false">SIN($A$10*(23.4393-46.815*L283/3600))*AB283+COS($A$10*(23.4393-46.815*L283/3600))*AC283</f>
        <v>-0.0205245775413994</v>
      </c>
      <c r="AF283" s="36" t="n">
        <f aca="false">SQRT(1-AE283*AE283)</f>
        <v>0.999789348671383</v>
      </c>
      <c r="AG283" s="35" t="n">
        <f aca="false">ATAN(AE283/AF283)/$A$10</f>
        <v>-1.17605424970101</v>
      </c>
      <c r="AH283" s="36" t="n">
        <f aca="false">IF(24*ATAN(AD283/(AA283+AF283))/PI()&gt;0,24*ATAN(AD283/(AA283+AF283))/PI(),24*ATAN(AD283/(AA283+AF283))/PI()+24)</f>
        <v>0.369481238390404</v>
      </c>
      <c r="AI283" s="63" t="n">
        <f aca="false">IF(M283-15*AH283&gt;0,M283-15*AH283,360+M283-15*AH283)</f>
        <v>27.0547416562714</v>
      </c>
      <c r="AJ283" s="32" t="n">
        <f aca="false">0.950724+0.051818*COS(P283)+0.009531*COS(2*R283-P283)+0.007843*COS(2*R283)+0.002824*COS(2*P283)+0.000857*COS(2*R283+P283)+0.000533*COS(2*R283-Q283)*(1-0.002495*(J283-2415020)/36525)+0.000401*COS(2*R283-Q283-P283)*(1-0.002495*(J283-2415020)/36525)+0.00032*COS(P283-Q283)*(1-0.002495*(J283-2415020)/36525)-0.000271*COS(R283)</f>
        <v>0.971520469041336</v>
      </c>
      <c r="AK283" s="36" t="n">
        <f aca="false">ASIN(COS($A$10*$B$5)*COS($A$10*AG283)*COS($A$10*AI283)+SIN($A$10*$B$5)*SIN($A$10*AG283))/$A$10</f>
        <v>33.8213728475469</v>
      </c>
      <c r="AL283" s="32" t="n">
        <f aca="false">ASIN((0.9983271+0.0016764*COS($A$10*2*$B$5))*COS($A$10*AK283)*SIN($A$10*AJ283))/$A$10</f>
        <v>0.80551951745945</v>
      </c>
      <c r="AM283" s="32" t="n">
        <f aca="false">AK283-AL283</f>
        <v>33.0158533300875</v>
      </c>
      <c r="AN283" s="35" t="n">
        <f aca="false"> MOD(280.4664567 + 360007.6982779*L283/10 + 0.03032028*L283^2/100 + L283^3/49931000,360)</f>
        <v>197.60274272252</v>
      </c>
      <c r="AO283" s="32" t="n">
        <f aca="false"> AN283 + (1.9146 - 0.004817*L283 - 0.000014*L283^2)*SIN(Q283)+ (0.019993 - 0.000101*L283)*SIN(2*Q283)+ 0.00029*SIN(3*Q283)</f>
        <v>195.691873453355</v>
      </c>
      <c r="AP283" s="32" t="n">
        <f aca="false">ACOS(COS(W283-$A$10*AO283)*COS(Y283))/$A$10</f>
        <v>168.458813374146</v>
      </c>
      <c r="AQ283" s="34" t="n">
        <f aca="false">180 - AP283 -0.1468*(1-0.0549*SIN(Q283))*SIN($A$10*AP283)/(1-0.0167*SIN($A$10*AO283))</f>
        <v>11.5103473407703</v>
      </c>
      <c r="AR283" s="64" t="n">
        <f aca="false">SIN($A$10*AI283)</f>
        <v>0.454841579761675</v>
      </c>
      <c r="AS283" s="64" t="n">
        <f aca="false">COS($A$10*AI283)*SIN($A$10*$B$5) - TAN($A$10*AG283)*COS($A$10*$B$5)</f>
        <v>0.695413735245828</v>
      </c>
      <c r="AT283" s="24" t="n">
        <f aca="false">IF(OR(AND(AR283*AS283&gt;0), AND(AR283&lt;0,AS283&gt;0)), MOD(ATAN2(AS283,AR283)/$A$10+360,360),  ATAN2(AS283,AR283)/$A$10)</f>
        <v>33.1870519003323</v>
      </c>
      <c r="AU283" s="39" t="n">
        <f aca="false"> 385000.56 + (-20905355*COS(P283) - 3699111*COS(2*R283-P283) - 2955968*COS(2*R283) - 569925*COS(2*P283) + (1-0.002516*L283)*48888*COS(Q283) - 3149*COS(2*S283)  +246158*COS(2*R283-2*P283) -(1 - 0.002516*L283)*152138*COS(2*R283-Q283-P283) -170733*COS(2*R283+P283) -(1 - 0.002516*L283)*204586*COS(2*R283-Q283) -(1 - 0.002516*L283)*129620*COS(Q283-P283)  + 108743*COS(R283) +(1-0.002516*L283)*104755*COS(Q283+P283) +10321*COS(2*R283-2*S283) +79661*COS(P283-2*S283) -34782*COS(4*R283-P283) -23210*COS(3*P283)  -21636*COS(4*R283-2*P283) +(1 - 0.002516*L283)*24208*COS(2*R283+Q283-P283) +(1 - 0.002516*L283)*30824*COS(2*R283+Q283) -8379*COS(R283-P283) -(1 - 0.002516*L283)*16675*COS(R283+Q283)  -(1 - 0.002516*L283)*12831*COS(2*R283-Q283+P283) -10445*COS(2*R283+2*P283) -11650*COS(4*R283) +14403*COS(2*R283-3*P283) -(1-0.002516*L283)*7003*COS(Q283-2*P283)  + (1 - 0.002516*L283)*10056*COS(2*R283-Q283-2*P283) +6322*COS(R283+P283) -(1 - 0.002516*L283)*(1-0.002516*L283)*9884*COS(2*R283-2*Q283) +(1-0.002516*L283)*5751*COS(Q283+2*P283) - (1-0.002516*L283)^2*4950*COS(2*R283-2*Q283-P283)  +4130*COS(2*R283+P283-2*S283) -(1-0.002516*L283)*3958*COS(4*R283-Q283-P283) +3258*COS(3*R283-P283) +(1 - 0.002516*L283)*2616*COS(2*R283+Q283+P283) -(1 - 0.002516*L283)*1897*COS(4*R283-Q283-2*P283)  -(1-0.002516*L283)^2*2117*COS(2*Q283-P283) +(1-0.002516*L283)^2*2354*COS(2*R283+2*Q283-P283) -1423*COS(4*R283+P283) -1117*COS(4*P283) -(1-0.002516*L283)*1571*COS(4*R283-Q283)  -1739*COS(R283-2*P283) -4421*COS(2*P283-2*S283) +(1-0.002516*L283)^2*1165*COS(2*Q283+P283) +8752*COS(2*R283-P283-2*S283))/1000</f>
        <v>376294.646632273</v>
      </c>
      <c r="AV283" s="54" t="n">
        <f aca="false">ATAN(0.99664719*TAN($A$10*input!$E$2))</f>
        <v>0.871010436227447</v>
      </c>
      <c r="AW283" s="54" t="n">
        <f aca="false">COS(AV283)</f>
        <v>0.644053912545845</v>
      </c>
      <c r="AX283" s="54" t="n">
        <f aca="false">0.99664719*SIN(AV283)</f>
        <v>0.762415269897027</v>
      </c>
      <c r="AY283" s="54" t="n">
        <f aca="false">6378.14/AU283</f>
        <v>0.0169498558033777</v>
      </c>
      <c r="AZ283" s="55" t="n">
        <f aca="false">M283-15*AH283</f>
        <v>27.0547416562714</v>
      </c>
      <c r="BA283" s="56" t="n">
        <f aca="false">COS($A$10*AG283)*SIN($A$10*AZ283)</f>
        <v>0.454745766778588</v>
      </c>
      <c r="BB283" s="56" t="n">
        <f aca="false">COS($A$10*AG283)*COS($A$10*AZ283)-AW283*AY283</f>
        <v>0.879468143811051</v>
      </c>
      <c r="BC283" s="56" t="n">
        <f aca="false">SIN($A$10*AG283)-AX283*AY283</f>
        <v>-0.0334474064284473</v>
      </c>
      <c r="BD283" s="57" t="n">
        <f aca="false">SQRT(BA283^2+BB283^2+BC283^2)</f>
        <v>0.990644566622304</v>
      </c>
      <c r="BE283" s="58" t="n">
        <f aca="false">AU283*BD283</f>
        <v>372774.247135321</v>
      </c>
    </row>
    <row r="284" customFormat="false" ht="15" hidden="false" customHeight="false" outlineLevel="0" collapsed="false">
      <c r="D284" s="41" t="n">
        <f aca="false">K284-INT(275*E284/9)+IF($A$8="common year",2,1)*INT((E284+9)/12)+30</f>
        <v>10</v>
      </c>
      <c r="E284" s="41" t="n">
        <f aca="false">IF(K284&lt;32,1,INT(9*(IF($A$8="common year",2,1)+K284)/275+0.98))</f>
        <v>10</v>
      </c>
      <c r="F284" s="42" t="n">
        <f aca="false">AM284</f>
        <v>42.4534563089666</v>
      </c>
      <c r="G284" s="60" t="n">
        <f aca="false">F284+1.02/(TAN($A$10*(F284+10.3/(F284+5.11)))*60)</f>
        <v>42.4718983921883</v>
      </c>
      <c r="H284" s="43" t="n">
        <f aca="false">100*(1+COS($A$10*AQ284))/2</f>
        <v>99.9430302622528</v>
      </c>
      <c r="I284" s="43" t="n">
        <f aca="false">IF(AI284&gt;180,AT284-180,AT284+180)</f>
        <v>201.926446357535</v>
      </c>
      <c r="J284" s="61" t="n">
        <f aca="false">$J$2+K283</f>
        <v>2459862.5</v>
      </c>
      <c r="K284" s="21" t="n">
        <v>283</v>
      </c>
      <c r="L284" s="62" t="n">
        <f aca="false">(J284-2451545)/36525</f>
        <v>0.227720739219713</v>
      </c>
      <c r="M284" s="63" t="n">
        <f aca="false">MOD(280.46061837+360.98564736629*(J284-2451545)+0.000387933*L284^2-L284^3/38710000+$B$7,360)</f>
        <v>33.5826076036319</v>
      </c>
      <c r="N284" s="30" t="n">
        <f aca="false">0.606433+1336.855225*L284 - INT(0.606433+1336.855225*L284)</f>
        <v>0.036093066735134</v>
      </c>
      <c r="O284" s="35" t="n">
        <f aca="false">22640*SIN(P284)-4586*SIN(P284-2*R284)+2370*SIN(2*R284)+769*SIN(2*P284)-668*SIN(Q284)-412*SIN(2*S284)-212*SIN(2*P284-2*R284)-206*SIN(P284+Q284-2*R284)+192*SIN(P284+2*R284)-165*SIN(Q284-2*R284)-125*SIN(R284)-110*SIN(P284+Q284)+148*SIN(P284-Q284)-55*SIN(2*S284-2*R284)</f>
        <v>19020.2093586371</v>
      </c>
      <c r="P284" s="32" t="n">
        <f aca="false">2*PI()*(0.374897+1325.55241*L284 - INT(0.374897+1325.55241*L284))</f>
        <v>1.44935290849406</v>
      </c>
      <c r="Q284" s="36" t="n">
        <f aca="false">2*PI()*(0.993133+99.997361*L284 - INT(0.993133+99.997361*L284))</f>
        <v>4.80416097726208</v>
      </c>
      <c r="R284" s="36" t="n">
        <f aca="false">2*PI()*(0.827361+1236.853086*L284 - INT(0.827361+1236.853086*L284))</f>
        <v>3.04395226872084</v>
      </c>
      <c r="S284" s="36" t="n">
        <f aca="false">2*PI()*(0.259086+1342.227825*L284 - INT(0.259086+1342.227825*L284))</f>
        <v>5.7315122769403</v>
      </c>
      <c r="T284" s="36" t="n">
        <f aca="false">S284+(O284+412*SIN(2*S284)+541*SIN(Q284))/206264.8062</f>
        <v>5.81932990118227</v>
      </c>
      <c r="U284" s="36" t="n">
        <f aca="false">S284-2*R284</f>
        <v>-0.35639226050139</v>
      </c>
      <c r="V284" s="34" t="n">
        <f aca="false">-526*SIN(U284)+44*SIN(P284+U284)-31*SIN(-P284+U284)-23*SIN(Q284+U284)+11*SIN(-Q284+U284)-25*SIN(-2*P284+S284)+21*SIN(-P284+S284)</f>
        <v>258.16826113183</v>
      </c>
      <c r="W284" s="36" t="n">
        <f aca="false">2*PI()*(N284+O284/1296000-INT(N284+O284/1296000))</f>
        <v>0.318992003747595</v>
      </c>
      <c r="X284" s="35" t="n">
        <f aca="false">W284*180/PI()</f>
        <v>18.2768955131585</v>
      </c>
      <c r="Y284" s="36" t="n">
        <f aca="false">(18520*SIN(T284)+V284)/206264.8062</f>
        <v>-0.0389192398379446</v>
      </c>
      <c r="Z284" s="36" t="n">
        <f aca="false">Y284*180/PI()</f>
        <v>-2.22990818457164</v>
      </c>
      <c r="AA284" s="36" t="n">
        <f aca="false">COS(Y284)*COS(W284)</f>
        <v>0.948832961821742</v>
      </c>
      <c r="AB284" s="36" t="n">
        <f aca="false">COS(Y284)*SIN(W284)</f>
        <v>0.313372091858719</v>
      </c>
      <c r="AC284" s="36" t="n">
        <f aca="false">SIN(Y284)</f>
        <v>-0.0389094153730416</v>
      </c>
      <c r="AD284" s="36" t="n">
        <f aca="false">COS($A$10*(23.4393-46.815*L284/3600))*AB284-SIN($A$10*(23.4393-46.815*L284/3600))*AC284</f>
        <v>0.30299513296057</v>
      </c>
      <c r="AE284" s="36" t="n">
        <f aca="false">SIN($A$10*(23.4393-46.815*L284/3600))*AB284+COS($A$10*(23.4393-46.815*L284/3600))*AC284</f>
        <v>0.0889379556926505</v>
      </c>
      <c r="AF284" s="36" t="n">
        <f aca="false">SQRT(1-AE284*AE284)</f>
        <v>0.996037167999875</v>
      </c>
      <c r="AG284" s="35" t="n">
        <f aca="false">ATAN(AE284/AF284)/$A$10</f>
        <v>5.10251141389722</v>
      </c>
      <c r="AH284" s="36" t="n">
        <f aca="false">IF(24*ATAN(AD284/(AA284+AF284))/PI()&gt;0,24*ATAN(AD284/(AA284+AF284))/PI(),24*ATAN(AD284/(AA284+AF284))/PI()+24)</f>
        <v>1.18067188679061</v>
      </c>
      <c r="AI284" s="63" t="n">
        <f aca="false">IF(M284-15*AH284&gt;0,M284-15*AH284,360+M284-15*AH284)</f>
        <v>15.8725293017728</v>
      </c>
      <c r="AJ284" s="32" t="n">
        <f aca="false">0.950724+0.051818*COS(P284)+0.009531*COS(2*R284-P284)+0.007843*COS(2*R284)+0.002824*COS(2*P284)+0.000857*COS(2*R284+P284)+0.000533*COS(2*R284-Q284)*(1-0.002495*(J284-2415020)/36525)+0.000401*COS(2*R284-Q284-P284)*(1-0.002495*(J284-2415020)/36525)+0.00032*COS(P284-Q284)*(1-0.002495*(J284-2415020)/36525)-0.000271*COS(R284)</f>
        <v>0.962020791119195</v>
      </c>
      <c r="AK284" s="36" t="n">
        <f aca="false">ASIN(COS($A$10*$B$5)*COS($A$10*AG284)*COS($A$10*AI284)+SIN($A$10*$B$5)*SIN($A$10*AG284))/$A$10</f>
        <v>43.1538753778459</v>
      </c>
      <c r="AL284" s="32" t="n">
        <f aca="false">ASIN((0.9983271+0.0016764*COS($A$10*2*$B$5))*COS($A$10*AK284)*SIN($A$10*AJ284))/$A$10</f>
        <v>0.700419068879293</v>
      </c>
      <c r="AM284" s="32" t="n">
        <f aca="false">AK284-AL284</f>
        <v>42.4534563089666</v>
      </c>
      <c r="AN284" s="35" t="n">
        <f aca="false"> MOD(280.4664567 + 360007.6982779*L284/10 + 0.03032028*L284^2/100 + L284^3/49931000,360)</f>
        <v>198.588390086406</v>
      </c>
      <c r="AO284" s="32" t="n">
        <f aca="false"> AN284 + (1.9146 - 0.004817*L284 - 0.000014*L284^2)*SIN(Q284)+ (0.019993 - 0.000101*L284)*SIN(2*Q284)+ 0.00029*SIN(3*Q284)</f>
        <v>196.679574193203</v>
      </c>
      <c r="AP284" s="32" t="n">
        <f aca="false">ACOS(COS(W284-$A$10*AO284)*COS(Y284))/$A$10</f>
        <v>177.257257305527</v>
      </c>
      <c r="AQ284" s="34" t="n">
        <f aca="false">180 - AP284 -0.1468*(1-0.0549*SIN(Q284))*SIN($A$10*AP284)/(1-0.0167*SIN($A$10*AO284))</f>
        <v>2.73536939137408</v>
      </c>
      <c r="AR284" s="64" t="n">
        <f aca="false">SIN($A$10*AI284)</f>
        <v>0.273498076377069</v>
      </c>
      <c r="AS284" s="64" t="n">
        <f aca="false">COS($A$10*AI284)*SIN($A$10*$B$5) - TAN($A$10*AG284)*COS($A$10*$B$5)</f>
        <v>0.679441456497081</v>
      </c>
      <c r="AT284" s="24" t="n">
        <f aca="false">IF(OR(AND(AR284*AS284&gt;0), AND(AR284&lt;0,AS284&gt;0)), MOD(ATAN2(AS284,AR284)/$A$10+360,360),  ATAN2(AS284,AR284)/$A$10)</f>
        <v>21.9264463575349</v>
      </c>
      <c r="AU284" s="39" t="n">
        <f aca="false"> 385000.56 + (-20905355*COS(P284) - 3699111*COS(2*R284-P284) - 2955968*COS(2*R284) - 569925*COS(2*P284) + (1-0.002516*L284)*48888*COS(Q284) - 3149*COS(2*S284)  +246158*COS(2*R284-2*P284) -(1 - 0.002516*L284)*152138*COS(2*R284-Q284-P284) -170733*COS(2*R284+P284) -(1 - 0.002516*L284)*204586*COS(2*R284-Q284) -(1 - 0.002516*L284)*129620*COS(Q284-P284)  + 108743*COS(R284) +(1-0.002516*L284)*104755*COS(Q284+P284) +10321*COS(2*R284-2*S284) +79661*COS(P284-2*S284) -34782*COS(4*R284-P284) -23210*COS(3*P284)  -21636*COS(4*R284-2*P284) +(1 - 0.002516*L284)*24208*COS(2*R284+Q284-P284) +(1 - 0.002516*L284)*30824*COS(2*R284+Q284) -8379*COS(R284-P284) -(1 - 0.002516*L284)*16675*COS(R284+Q284)  -(1 - 0.002516*L284)*12831*COS(2*R284-Q284+P284) -10445*COS(2*R284+2*P284) -11650*COS(4*R284) +14403*COS(2*R284-3*P284) -(1-0.002516*L284)*7003*COS(Q284-2*P284)  + (1 - 0.002516*L284)*10056*COS(2*R284-Q284-2*P284) +6322*COS(R284+P284) -(1 - 0.002516*L284)*(1-0.002516*L284)*9884*COS(2*R284-2*Q284) +(1-0.002516*L284)*5751*COS(Q284+2*P284) - (1-0.002516*L284)^2*4950*COS(2*R284-2*Q284-P284)  +4130*COS(2*R284+P284-2*S284) -(1-0.002516*L284)*3958*COS(4*R284-Q284-P284) +3258*COS(3*R284-P284) +(1 - 0.002516*L284)*2616*COS(2*R284+Q284+P284) -(1 - 0.002516*L284)*1897*COS(4*R284-Q284-2*P284)  -(1-0.002516*L284)^2*2117*COS(2*Q284-P284) +(1-0.002516*L284)^2*2354*COS(2*R284+2*Q284-P284) -1423*COS(4*R284+P284) -1117*COS(4*P284) -(1-0.002516*L284)*1571*COS(4*R284-Q284)  -1739*COS(R284-2*P284) -4421*COS(2*P284-2*S284) +(1-0.002516*L284)^2*1165*COS(2*Q284+P284) +8752*COS(2*R284-P284-2*S284))/1000</f>
        <v>379986.128348195</v>
      </c>
      <c r="AV284" s="54" t="n">
        <f aca="false">ATAN(0.99664719*TAN($A$10*input!$E$2))</f>
        <v>0.871010436227447</v>
      </c>
      <c r="AW284" s="54" t="n">
        <f aca="false">COS(AV284)</f>
        <v>0.644053912545845</v>
      </c>
      <c r="AX284" s="54" t="n">
        <f aca="false">0.99664719*SIN(AV284)</f>
        <v>0.762415269897027</v>
      </c>
      <c r="AY284" s="54" t="n">
        <f aca="false">6378.14/AU284</f>
        <v>0.0167851916798275</v>
      </c>
      <c r="AZ284" s="55" t="n">
        <f aca="false">M284-15*AH284</f>
        <v>15.8725293017728</v>
      </c>
      <c r="BA284" s="56" t="n">
        <f aca="false">COS($A$10*AG284)*SIN($A$10*AZ284)</f>
        <v>0.272414249448029</v>
      </c>
      <c r="BB284" s="56" t="n">
        <f aca="false">COS($A$10*AG284)*COS($A$10*AZ284)-AW284*AY284</f>
        <v>0.94725024218786</v>
      </c>
      <c r="BC284" s="56" t="n">
        <f aca="false">SIN($A$10*AG284)-AX284*AY284</f>
        <v>0.0761406692478015</v>
      </c>
      <c r="BD284" s="57" t="n">
        <f aca="false">SQRT(BA284^2+BB284^2+BC284^2)</f>
        <v>0.98857976215417</v>
      </c>
      <c r="BE284" s="58" t="n">
        <f aca="false">AU284*BD284</f>
        <v>375646.596384343</v>
      </c>
    </row>
    <row r="285" customFormat="false" ht="15" hidden="false" customHeight="false" outlineLevel="0" collapsed="false">
      <c r="D285" s="41" t="n">
        <f aca="false">K285-INT(275*E285/9)+IF($A$8="common year",2,1)*INT((E285+9)/12)+30</f>
        <v>11</v>
      </c>
      <c r="E285" s="41" t="n">
        <f aca="false">IF(K285&lt;32,1,INT(9*(IF($A$8="common year",2,1)+K285)/275+0.98))</f>
        <v>10</v>
      </c>
      <c r="F285" s="42" t="n">
        <f aca="false">AM285</f>
        <v>50.2320164955307</v>
      </c>
      <c r="G285" s="60" t="n">
        <f aca="false">F285+1.02/(TAN($A$10*(F285+10.3/(F285+5.11)))*60)</f>
        <v>50.2460710593058</v>
      </c>
      <c r="H285" s="43" t="n">
        <f aca="false">100*(1+COS($A$10*AQ285))/2</f>
        <v>98.5237689315789</v>
      </c>
      <c r="I285" s="43" t="n">
        <f aca="false">IF(AI285&gt;180,AT285-180,AT285+180)</f>
        <v>187.35472329132</v>
      </c>
      <c r="J285" s="61" t="n">
        <f aca="false">$J$2+K284</f>
        <v>2459863.5</v>
      </c>
      <c r="K285" s="21" t="n">
        <v>284</v>
      </c>
      <c r="L285" s="62" t="n">
        <f aca="false">(J285-2451545)/36525</f>
        <v>0.227748117727584</v>
      </c>
      <c r="M285" s="63" t="n">
        <f aca="false">MOD(280.46061837+360.98564736629*(J285-2451545)+0.000387933*L285^2-L285^3/38710000+$B$7,360)</f>
        <v>34.5682549746707</v>
      </c>
      <c r="N285" s="30" t="n">
        <f aca="false">0.606433+1336.855225*L285 - INT(0.606433+1336.855225*L285)</f>
        <v>0.0726941680355822</v>
      </c>
      <c r="O285" s="35" t="n">
        <f aca="false">22640*SIN(P285)-4586*SIN(P285-2*R285)+2370*SIN(2*R285)+769*SIN(2*P285)-668*SIN(Q285)-412*SIN(2*S285)-212*SIN(2*P285-2*R285)-206*SIN(P285+Q285-2*R285)+192*SIN(P285+2*R285)-165*SIN(Q285-2*R285)-125*SIN(R285)-110*SIN(P285+Q285)+148*SIN(P285-Q285)-55*SIN(2*S285-2*R285)</f>
        <v>19627.0501219446</v>
      </c>
      <c r="P285" s="32" t="n">
        <f aca="false">2*PI()*(0.374897+1325.55241*L285 - INT(0.374897+1325.55241*L285))</f>
        <v>1.67738005226988</v>
      </c>
      <c r="Q285" s="36" t="n">
        <f aca="false">2*PI()*(0.993133+99.997361*L285 - INT(0.993133+99.997361*L285))</f>
        <v>4.82136294712909</v>
      </c>
      <c r="R285" s="36" t="n">
        <f aca="false">2*PI()*(0.827361+1236.853086*L285 - INT(0.827361+1236.853086*L285))</f>
        <v>3.25672097883951</v>
      </c>
      <c r="S285" s="36" t="n">
        <f aca="false">2*PI()*(0.259086+1342.227825*L285 - INT(0.259086+1342.227825*L285))</f>
        <v>5.9624079962813</v>
      </c>
      <c r="T285" s="36" t="n">
        <f aca="false">S285+(O285+412*SIN(2*S285)+541*SIN(Q285))/206264.8062</f>
        <v>6.05375998985196</v>
      </c>
      <c r="U285" s="36" t="n">
        <f aca="false">S285-2*R285</f>
        <v>-0.551033961397719</v>
      </c>
      <c r="V285" s="34" t="n">
        <f aca="false">-526*SIN(U285)+44*SIN(P285+U285)-31*SIN(-P285+U285)-23*SIN(Q285+U285)+11*SIN(-Q285+U285)-25*SIN(-2*P285+S285)+21*SIN(-P285+S285)</f>
        <v>337.301521313418</v>
      </c>
      <c r="W285" s="36" t="n">
        <f aca="false">2*PI()*(N285+O285/1296000-INT(N285+O285/1296000))</f>
        <v>0.551905552708227</v>
      </c>
      <c r="X285" s="35" t="n">
        <f aca="false">W285*180/PI()</f>
        <v>31.6218588600164</v>
      </c>
      <c r="Y285" s="36" t="n">
        <f aca="false">(18520*SIN(T285)+V285)/206264.8062</f>
        <v>-0.018784002651795</v>
      </c>
      <c r="Z285" s="36" t="n">
        <f aca="false">Y285*180/PI()</f>
        <v>-1.0762440743104</v>
      </c>
      <c r="AA285" s="36" t="n">
        <f aca="false">COS(Y285)*COS(W285)</f>
        <v>0.851376745343343</v>
      </c>
      <c r="AB285" s="36" t="n">
        <f aca="false">COS(Y285)*SIN(W285)</f>
        <v>0.524218313519661</v>
      </c>
      <c r="AC285" s="36" t="n">
        <f aca="false">SIN(Y285)</f>
        <v>-0.0187828980505956</v>
      </c>
      <c r="AD285" s="36" t="n">
        <f aca="false">COS($A$10*(23.4393-46.815*L285/3600))*AB285-SIN($A$10*(23.4393-46.815*L285/3600))*AC285</f>
        <v>0.488442164623101</v>
      </c>
      <c r="AE285" s="36" t="n">
        <f aca="false">SIN($A$10*(23.4393-46.815*L285/3600))*AB285+COS($A$10*(23.4393-46.815*L285/3600))*AC285</f>
        <v>0.191263925785487</v>
      </c>
      <c r="AF285" s="36" t="n">
        <f aca="false">SQRT(1-AE285*AE285)</f>
        <v>0.981538644523548</v>
      </c>
      <c r="AG285" s="35" t="n">
        <f aca="false">ATAN(AE285/AF285)/$A$10</f>
        <v>11.0265546512338</v>
      </c>
      <c r="AH285" s="36" t="n">
        <f aca="false">IF(24*ATAN(AD285/(AA285+AF285))/PI()&gt;0,24*ATAN(AD285/(AA285+AF285))/PI(),24*ATAN(AD285/(AA285+AF285))/PI()+24)</f>
        <v>1.98955094869378</v>
      </c>
      <c r="AI285" s="63" t="n">
        <f aca="false">IF(M285-15*AH285&gt;0,M285-15*AH285,360+M285-15*AH285)</f>
        <v>4.72499074426402</v>
      </c>
      <c r="AJ285" s="32" t="n">
        <f aca="false">0.950724+0.051818*COS(P285)+0.009531*COS(2*R285-P285)+0.007843*COS(2*R285)+0.002824*COS(2*P285)+0.000857*COS(2*R285+P285)+0.000533*COS(2*R285-Q285)*(1-0.002495*(J285-2415020)/36525)+0.000401*COS(2*R285-Q285-P285)*(1-0.002495*(J285-2415020)/36525)+0.00032*COS(P285-Q285)*(1-0.002495*(J285-2415020)/36525)-0.000271*COS(R285)</f>
        <v>0.951265528810961</v>
      </c>
      <c r="AK285" s="36" t="n">
        <f aca="false">ASIN(COS($A$10*$B$5)*COS($A$10*AG285)*COS($A$10*AI285)+SIN($A$10*$B$5)*SIN($A$10*AG285))/$A$10</f>
        <v>50.8316403853921</v>
      </c>
      <c r="AL285" s="32" t="n">
        <f aca="false">ASIN((0.9983271+0.0016764*COS($A$10*2*$B$5))*COS($A$10*AK285)*SIN($A$10*AJ285))/$A$10</f>
        <v>0.599623889861366</v>
      </c>
      <c r="AM285" s="32" t="n">
        <f aca="false">AK285-AL285</f>
        <v>50.2320164955307</v>
      </c>
      <c r="AN285" s="35" t="n">
        <f aca="false"> MOD(280.4664567 + 360007.6982779*L285/10 + 0.03032028*L285^2/100 + L285^3/49931000,360)</f>
        <v>199.574037450289</v>
      </c>
      <c r="AO285" s="32" t="n">
        <f aca="false"> AN285 + (1.9146 - 0.004817*L285 - 0.000014*L285^2)*SIN(Q285)+ (0.019993 - 0.000101*L285)*SIN(2*Q285)+ 0.00029*SIN(3*Q285)</f>
        <v>197.667842327052</v>
      </c>
      <c r="AP285" s="32" t="n">
        <f aca="false">ACOS(COS(W285-$A$10*AO285)*COS(Y285))/$A$10</f>
        <v>166.005362235582</v>
      </c>
      <c r="AQ285" s="34" t="n">
        <f aca="false">180 - AP285 -0.1468*(1-0.0549*SIN(Q285))*SIN($A$10*AP285)/(1-0.0167*SIN($A$10*AO285))</f>
        <v>13.9573883238142</v>
      </c>
      <c r="AR285" s="64" t="n">
        <f aca="false">SIN($A$10*AI285)</f>
        <v>0.0823732049184148</v>
      </c>
      <c r="AS285" s="64" t="n">
        <f aca="false">COS($A$10*AI285)*SIN($A$10*$B$5) - TAN($A$10*AG285)*COS($A$10*$B$5)</f>
        <v>0.638186632977289</v>
      </c>
      <c r="AT285" s="24" t="n">
        <f aca="false">IF(OR(AND(AR285*AS285&gt;0), AND(AR285&lt;0,AS285&gt;0)), MOD(ATAN2(AS285,AR285)/$A$10+360,360),  ATAN2(AS285,AR285)/$A$10)</f>
        <v>7.35472329132011</v>
      </c>
      <c r="AU285" s="39" t="n">
        <f aca="false"> 385000.56 + (-20905355*COS(P285) - 3699111*COS(2*R285-P285) - 2955968*COS(2*R285) - 569925*COS(2*P285) + (1-0.002516*L285)*48888*COS(Q285) - 3149*COS(2*S285)  +246158*COS(2*R285-2*P285) -(1 - 0.002516*L285)*152138*COS(2*R285-Q285-P285) -170733*COS(2*R285+P285) -(1 - 0.002516*L285)*204586*COS(2*R285-Q285) -(1 - 0.002516*L285)*129620*COS(Q285-P285)  + 108743*COS(R285) +(1-0.002516*L285)*104755*COS(Q285+P285) +10321*COS(2*R285-2*S285) +79661*COS(P285-2*S285) -34782*COS(4*R285-P285) -23210*COS(3*P285)  -21636*COS(4*R285-2*P285) +(1 - 0.002516*L285)*24208*COS(2*R285+Q285-P285) +(1 - 0.002516*L285)*30824*COS(2*R285+Q285) -8379*COS(R285-P285) -(1 - 0.002516*L285)*16675*COS(R285+Q285)  -(1 - 0.002516*L285)*12831*COS(2*R285-Q285+P285) -10445*COS(2*R285+2*P285) -11650*COS(4*R285) +14403*COS(2*R285-3*P285) -(1-0.002516*L285)*7003*COS(Q285-2*P285)  + (1 - 0.002516*L285)*10056*COS(2*R285-Q285-2*P285) +6322*COS(R285+P285) -(1 - 0.002516*L285)*(1-0.002516*L285)*9884*COS(2*R285-2*Q285) +(1-0.002516*L285)*5751*COS(Q285+2*P285) - (1-0.002516*L285)^2*4950*COS(2*R285-2*Q285-P285)  +4130*COS(2*R285+P285-2*S285) -(1-0.002516*L285)*3958*COS(4*R285-Q285-P285) +3258*COS(3*R285-P285) +(1 - 0.002516*L285)*2616*COS(2*R285+Q285+P285) -(1 - 0.002516*L285)*1897*COS(4*R285-Q285-2*P285)  -(1-0.002516*L285)^2*2117*COS(2*Q285-P285) +(1-0.002516*L285)^2*2354*COS(2*R285+2*Q285-P285) -1423*COS(4*R285+P285) -1117*COS(4*P285) -(1-0.002516*L285)*1571*COS(4*R285-Q285)  -1739*COS(R285-2*P285) -4421*COS(2*P285-2*S285) +(1-0.002516*L285)^2*1165*COS(2*Q285+P285) +8752*COS(2*R285-P285-2*S285))/1000</f>
        <v>384222.934828096</v>
      </c>
      <c r="AV285" s="54" t="n">
        <f aca="false">ATAN(0.99664719*TAN($A$10*input!$E$2))</f>
        <v>0.871010436227447</v>
      </c>
      <c r="AW285" s="54" t="n">
        <f aca="false">COS(AV285)</f>
        <v>0.644053912545845</v>
      </c>
      <c r="AX285" s="54" t="n">
        <f aca="false">0.99664719*SIN(AV285)</f>
        <v>0.762415269897027</v>
      </c>
      <c r="AY285" s="54" t="n">
        <f aca="false">6378.14/AU285</f>
        <v>0.0166001022371391</v>
      </c>
      <c r="AZ285" s="55" t="n">
        <f aca="false">M285-15*AH285</f>
        <v>4.72499074426402</v>
      </c>
      <c r="BA285" s="56" t="n">
        <f aca="false">COS($A$10*AG285)*SIN($A$10*AZ285)</f>
        <v>0.0808524839006813</v>
      </c>
      <c r="BB285" s="56" t="n">
        <f aca="false">COS($A$10*AG285)*COS($A$10*AZ285)-AW285*AY285</f>
        <v>0.967511576504419</v>
      </c>
      <c r="BC285" s="56" t="n">
        <f aca="false">SIN($A$10*AG285)-AX285*AY285</f>
        <v>0.17860775435804</v>
      </c>
      <c r="BD285" s="57" t="n">
        <f aca="false">SQRT(BA285^2+BB285^2+BC285^2)</f>
        <v>0.987176025205129</v>
      </c>
      <c r="BE285" s="58" t="n">
        <f aca="false">AU285*BD285</f>
        <v>379295.669596249</v>
      </c>
    </row>
    <row r="286" customFormat="false" ht="15" hidden="false" customHeight="false" outlineLevel="0" collapsed="false">
      <c r="D286" s="41" t="n">
        <f aca="false">K286-INT(275*E286/9)+IF($A$8="common year",2,1)*INT((E286+9)/12)+30</f>
        <v>12</v>
      </c>
      <c r="E286" s="41" t="n">
        <f aca="false">IF(K286&lt;32,1,INT(9*(IF($A$8="common year",2,1)+K286)/275+0.98))</f>
        <v>10</v>
      </c>
      <c r="F286" s="42" t="n">
        <f aca="false">AM286</f>
        <v>55.3857568004318</v>
      </c>
      <c r="G286" s="60" t="n">
        <f aca="false">F286+1.02/(TAN($A$10*(F286+10.3/(F286+5.11)))*60)</f>
        <v>55.3974161219003</v>
      </c>
      <c r="H286" s="43" t="n">
        <f aca="false">100*(1+COS($A$10*AQ286))/2</f>
        <v>94.9747217715678</v>
      </c>
      <c r="I286" s="43" t="n">
        <f aca="false">IF(AI286&gt;180,AT286-180,AT286+180)</f>
        <v>168.679587330982</v>
      </c>
      <c r="J286" s="61" t="n">
        <f aca="false">$J$2+K285</f>
        <v>2459864.5</v>
      </c>
      <c r="K286" s="21" t="n">
        <v>285</v>
      </c>
      <c r="L286" s="62" t="n">
        <f aca="false">(J286-2451545)/36525</f>
        <v>0.227775496235455</v>
      </c>
      <c r="M286" s="63" t="n">
        <f aca="false">MOD(280.46061837+360.98564736629*(J286-2451545)+0.000387933*L286^2-L286^3/38710000+$B$7,360)</f>
        <v>35.5539023461752</v>
      </c>
      <c r="N286" s="30" t="n">
        <f aca="false">0.606433+1336.855225*L286 - INT(0.606433+1336.855225*L286)</f>
        <v>0.109295269336087</v>
      </c>
      <c r="O286" s="35" t="n">
        <f aca="false">22640*SIN(P286)-4586*SIN(P286-2*R286)+2370*SIN(2*R286)+769*SIN(2*P286)-668*SIN(Q286)-412*SIN(2*S286)-212*SIN(2*P286-2*R286)-206*SIN(P286+Q286-2*R286)+192*SIN(P286+2*R286)-165*SIN(Q286-2*R286)-125*SIN(R286)-110*SIN(P286+Q286)+148*SIN(P286-Q286)-55*SIN(2*S286-2*R286)</f>
        <v>19029.2983870447</v>
      </c>
      <c r="P286" s="32" t="n">
        <f aca="false">2*PI()*(0.374897+1325.55241*L286 - INT(0.374897+1325.55241*L286))</f>
        <v>1.9054071960457</v>
      </c>
      <c r="Q286" s="36" t="n">
        <f aca="false">2*PI()*(0.993133+99.997361*L286 - INT(0.993133+99.997361*L286))</f>
        <v>4.83856491699607</v>
      </c>
      <c r="R286" s="36" t="n">
        <f aca="false">2*PI()*(0.827361+1236.853086*L286 - INT(0.827361+1236.853086*L286))</f>
        <v>3.46948968895854</v>
      </c>
      <c r="S286" s="36" t="n">
        <f aca="false">2*PI()*(0.259086+1342.227825*L286 - INT(0.259086+1342.227825*L286))</f>
        <v>6.19330371562231</v>
      </c>
      <c r="T286" s="36" t="n">
        <f aca="false">S286+(O286+412*SIN(2*S286)+541*SIN(Q286))/206264.8062</f>
        <v>6.28260123217558</v>
      </c>
      <c r="U286" s="36" t="n">
        <f aca="false">S286-2*R286</f>
        <v>-0.745675662294763</v>
      </c>
      <c r="V286" s="34" t="n">
        <f aca="false">-526*SIN(U286)+44*SIN(P286+U286)-31*SIN(-P286+U286)-23*SIN(Q286+U286)+11*SIN(-Q286+U286)-25*SIN(-2*P286+S286)+21*SIN(-P286+S286)</f>
        <v>401.272716514671</v>
      </c>
      <c r="W286" s="36" t="n">
        <f aca="false">2*PI()*(N286+O286/1296000-INT(N286+O286/1296000))</f>
        <v>0.778979072436287</v>
      </c>
      <c r="X286" s="35" t="n">
        <f aca="false">W286*180/PI()</f>
        <v>44.6322131796149</v>
      </c>
      <c r="Y286" s="36" t="n">
        <f aca="false">(18520*SIN(T286)+V286)/206264.8062</f>
        <v>0.00189298240086985</v>
      </c>
      <c r="Z286" s="36" t="n">
        <f aca="false">Y286*180/PI()</f>
        <v>0.108459902262384</v>
      </c>
      <c r="AA286" s="36" t="n">
        <f aca="false">COS(Y286)*COS(W286)</f>
        <v>0.711629889718598</v>
      </c>
      <c r="AB286" s="36" t="n">
        <f aca="false">COS(Y286)*SIN(W286)</f>
        <v>0.7025520028304</v>
      </c>
      <c r="AC286" s="36" t="n">
        <f aca="false">SIN(Y286)</f>
        <v>0.00189298127032342</v>
      </c>
      <c r="AD286" s="36" t="n">
        <f aca="false">COS($A$10*(23.4393-46.815*L286/3600))*AB286-SIN($A$10*(23.4393-46.815*L286/3600))*AC286</f>
        <v>0.643840368118889</v>
      </c>
      <c r="AE286" s="36" t="n">
        <f aca="false">SIN($A$10*(23.4393-46.815*L286/3600))*AB286+COS($A$10*(23.4393-46.815*L286/3600))*AC286</f>
        <v>0.281162729463972</v>
      </c>
      <c r="AF286" s="36" t="n">
        <f aca="false">SQRT(1-AE286*AE286)</f>
        <v>0.95966010626699</v>
      </c>
      <c r="AG286" s="35" t="n">
        <f aca="false">ATAN(AE286/AF286)/$A$10</f>
        <v>16.3296122900362</v>
      </c>
      <c r="AH286" s="36" t="n">
        <f aca="false">IF(24*ATAN(AD286/(AA286+AF286))/PI()&gt;0,24*ATAN(AD286/(AA286+AF286))/PI(),24*ATAN(AD286/(AA286+AF286))/PI()+24)</f>
        <v>2.8091279848732</v>
      </c>
      <c r="AI286" s="63" t="n">
        <f aca="false">IF(M286-15*AH286&gt;0,M286-15*AH286,360+M286-15*AH286)</f>
        <v>353.416982573077</v>
      </c>
      <c r="AJ286" s="32" t="n">
        <f aca="false">0.950724+0.051818*COS(P286)+0.009531*COS(2*R286-P286)+0.007843*COS(2*R286)+0.002824*COS(2*P286)+0.000857*COS(2*R286+P286)+0.000533*COS(2*R286-Q286)*(1-0.002495*(J286-2415020)/36525)+0.000401*COS(2*R286-Q286-P286)*(1-0.002495*(J286-2415020)/36525)+0.00032*COS(P286-Q286)*(1-0.002495*(J286-2415020)/36525)-0.000271*COS(R286)</f>
        <v>0.940068450319601</v>
      </c>
      <c r="AK286" s="36" t="n">
        <f aca="false">ASIN(COS($A$10*$B$5)*COS($A$10*AG286)*COS($A$10*AI286)+SIN($A$10*$B$5)*SIN($A$10*AG286))/$A$10</f>
        <v>55.9115873830175</v>
      </c>
      <c r="AL286" s="32" t="n">
        <f aca="false">ASIN((0.9983271+0.0016764*COS($A$10*2*$B$5))*COS($A$10*AK286)*SIN($A$10*AJ286))/$A$10</f>
        <v>0.525830582585636</v>
      </c>
      <c r="AM286" s="32" t="n">
        <f aca="false">AK286-AL286</f>
        <v>55.3857568004318</v>
      </c>
      <c r="AN286" s="35" t="n">
        <f aca="false"> MOD(280.4664567 + 360007.6982779*L286/10 + 0.03032028*L286^2/100 + L286^3/49931000,360)</f>
        <v>200.559684814176</v>
      </c>
      <c r="AO286" s="32" t="n">
        <f aca="false"> AN286 + (1.9146 - 0.004817*L286 - 0.000014*L286^2)*SIN(Q286)+ (0.019993 - 0.000101*L286)*SIN(2*Q286)+ 0.00029*SIN(3*Q286)</f>
        <v>198.6566776874</v>
      </c>
      <c r="AP286" s="32" t="n">
        <f aca="false">ACOS(COS(W286-$A$10*AO286)*COS(Y286))/$A$10</f>
        <v>154.024253803653</v>
      </c>
      <c r="AQ286" s="34" t="n">
        <f aca="false">180 - AP286 -0.1468*(1-0.0549*SIN(Q286))*SIN($A$10*AP286)/(1-0.0167*SIN($A$10*AO286))</f>
        <v>25.9083076006054</v>
      </c>
      <c r="AR286" s="64" t="n">
        <f aca="false">SIN($A$10*AI286)</f>
        <v>-0.114642707956981</v>
      </c>
      <c r="AS286" s="64" t="n">
        <f aca="false">COS($A$10*AI286)*SIN($A$10*$B$5) - TAN($A$10*AG286)*COS($A$10*$B$5)</f>
        <v>0.572668824566792</v>
      </c>
      <c r="AT286" s="24" t="n">
        <f aca="false">IF(OR(AND(AR286*AS286&gt;0), AND(AR286&lt;0,AS286&gt;0)), MOD(ATAN2(AS286,AR286)/$A$10+360,360),  ATAN2(AS286,AR286)/$A$10)</f>
        <v>348.679587330982</v>
      </c>
      <c r="AU286" s="39" t="n">
        <f aca="false"> 385000.56 + (-20905355*COS(P286) - 3699111*COS(2*R286-P286) - 2955968*COS(2*R286) - 569925*COS(2*P286) + (1-0.002516*L286)*48888*COS(Q286) - 3149*COS(2*S286)  +246158*COS(2*R286-2*P286) -(1 - 0.002516*L286)*152138*COS(2*R286-Q286-P286) -170733*COS(2*R286+P286) -(1 - 0.002516*L286)*204586*COS(2*R286-Q286) -(1 - 0.002516*L286)*129620*COS(Q286-P286)  + 108743*COS(R286) +(1-0.002516*L286)*104755*COS(Q286+P286) +10321*COS(2*R286-2*S286) +79661*COS(P286-2*S286) -34782*COS(4*R286-P286) -23210*COS(3*P286)  -21636*COS(4*R286-2*P286) +(1 - 0.002516*L286)*24208*COS(2*R286+Q286-P286) +(1 - 0.002516*L286)*30824*COS(2*R286+Q286) -8379*COS(R286-P286) -(1 - 0.002516*L286)*16675*COS(R286+Q286)  -(1 - 0.002516*L286)*12831*COS(2*R286-Q286+P286) -10445*COS(2*R286+2*P286) -11650*COS(4*R286) +14403*COS(2*R286-3*P286) -(1-0.002516*L286)*7003*COS(Q286-2*P286)  + (1 - 0.002516*L286)*10056*COS(2*R286-Q286-2*P286) +6322*COS(R286+P286) -(1 - 0.002516*L286)*(1-0.002516*L286)*9884*COS(2*R286-2*Q286) +(1-0.002516*L286)*5751*COS(Q286+2*P286) - (1-0.002516*L286)^2*4950*COS(2*R286-2*Q286-P286)  +4130*COS(2*R286+P286-2*S286) -(1-0.002516*L286)*3958*COS(4*R286-Q286-P286) +3258*COS(3*R286-P286) +(1 - 0.002516*L286)*2616*COS(2*R286+Q286+P286) -(1 - 0.002516*L286)*1897*COS(4*R286-Q286-2*P286)  -(1-0.002516*L286)^2*2117*COS(2*Q286-P286) +(1-0.002516*L286)^2*2354*COS(2*R286+2*Q286-P286) -1423*COS(4*R286+P286) -1117*COS(4*P286) -(1-0.002516*L286)*1571*COS(4*R286-Q286)  -1739*COS(R286-2*P286) -4421*COS(2*P286-2*S286) +(1-0.002516*L286)^2*1165*COS(2*Q286+P286) +8752*COS(2*R286-P286-2*S286))/1000</f>
        <v>388733.6378279</v>
      </c>
      <c r="AV286" s="54" t="n">
        <f aca="false">ATAN(0.99664719*TAN($A$10*input!$E$2))</f>
        <v>0.871010436227447</v>
      </c>
      <c r="AW286" s="54" t="n">
        <f aca="false">COS(AV286)</f>
        <v>0.644053912545845</v>
      </c>
      <c r="AX286" s="54" t="n">
        <f aca="false">0.99664719*SIN(AV286)</f>
        <v>0.762415269897027</v>
      </c>
      <c r="AY286" s="54" t="n">
        <f aca="false">6378.14/AU286</f>
        <v>0.0164074815743724</v>
      </c>
      <c r="AZ286" s="55" t="n">
        <f aca="false">M286-15*AH286</f>
        <v>-6.58301742692277</v>
      </c>
      <c r="BA286" s="56" t="n">
        <f aca="false">COS($A$10*AG286)*SIN($A$10*AZ286)</f>
        <v>-0.110018033300733</v>
      </c>
      <c r="BB286" s="56" t="n">
        <f aca="false">COS($A$10*AG286)*COS($A$10*AZ286)-AW286*AY286</f>
        <v>0.942765562517229</v>
      </c>
      <c r="BC286" s="56" t="n">
        <f aca="false">SIN($A$10*AG286)-AX286*AY286</f>
        <v>0.268653414971116</v>
      </c>
      <c r="BD286" s="57" t="n">
        <f aca="false">SQRT(BA286^2+BB286^2+BC286^2)</f>
        <v>0.986450977441571</v>
      </c>
      <c r="BE286" s="58" t="n">
        <f aca="false">AU286*BD286</f>
        <v>383466.67699975</v>
      </c>
    </row>
    <row r="287" customFormat="false" ht="15" hidden="false" customHeight="false" outlineLevel="0" collapsed="false">
      <c r="D287" s="41" t="n">
        <f aca="false">K287-INT(275*E287/9)+IF($A$8="common year",2,1)*INT((E287+9)/12)+30</f>
        <v>13</v>
      </c>
      <c r="E287" s="41" t="n">
        <f aca="false">IF(K287&lt;32,1,INT(9*(IF($A$8="common year",2,1)+K287)/275+0.98))</f>
        <v>10</v>
      </c>
      <c r="F287" s="42" t="n">
        <f aca="false">AM287</f>
        <v>56.9340835225778</v>
      </c>
      <c r="G287" s="60" t="n">
        <f aca="false">F287+1.02/(TAN($A$10*(F287+10.3/(F287+5.11)))*60)</f>
        <v>56.9450812760121</v>
      </c>
      <c r="H287" s="43" t="n">
        <f aca="false">100*(1+COS($A$10*AQ287))/2</f>
        <v>89.6183586870228</v>
      </c>
      <c r="I287" s="43" t="n">
        <f aca="false">IF(AI287&gt;180,AT287-180,AT287+180)</f>
        <v>147.171449016372</v>
      </c>
      <c r="J287" s="61" t="n">
        <f aca="false">$J$2+K286</f>
        <v>2459865.5</v>
      </c>
      <c r="K287" s="21" t="n">
        <v>286</v>
      </c>
      <c r="L287" s="62" t="n">
        <f aca="false">(J287-2451545)/36525</f>
        <v>0.227802874743327</v>
      </c>
      <c r="M287" s="63" t="n">
        <f aca="false">MOD(280.46061837+360.98564736629*(J287-2451545)+0.000387933*L287^2-L287^3/38710000+$B$7,360)</f>
        <v>36.539549717214</v>
      </c>
      <c r="N287" s="30" t="n">
        <f aca="false">0.606433+1336.855225*L287 - INT(0.606433+1336.855225*L287)</f>
        <v>0.145896370636535</v>
      </c>
      <c r="O287" s="35" t="n">
        <f aca="false">22640*SIN(P287)-4586*SIN(P287-2*R287)+2370*SIN(2*R287)+769*SIN(2*P287)-668*SIN(Q287)-412*SIN(2*S287)-212*SIN(2*P287-2*R287)-206*SIN(P287+Q287-2*R287)+192*SIN(P287+2*R287)-165*SIN(Q287-2*R287)-125*SIN(R287)-110*SIN(P287+Q287)+148*SIN(P287-Q287)-55*SIN(2*S287-2*R287)</f>
        <v>17252.0716086437</v>
      </c>
      <c r="P287" s="32" t="n">
        <f aca="false">2*PI()*(0.374897+1325.55241*L287 - INT(0.374897+1325.55241*L287))</f>
        <v>2.13343433982116</v>
      </c>
      <c r="Q287" s="36" t="n">
        <f aca="false">2*PI()*(0.993133+99.997361*L287 - INT(0.993133+99.997361*L287))</f>
        <v>4.85576688686308</v>
      </c>
      <c r="R287" s="36" t="n">
        <f aca="false">2*PI()*(0.827361+1236.853086*L287 - INT(0.827361+1236.853086*L287))</f>
        <v>3.68225839907756</v>
      </c>
      <c r="S287" s="36" t="n">
        <f aca="false">2*PI()*(0.259086+1342.227825*L287 - INT(0.259086+1342.227825*L287))</f>
        <v>0.141014127783725</v>
      </c>
      <c r="T287" s="36" t="n">
        <f aca="false">S287+(O287+412*SIN(2*S287)+541*SIN(Q287))/206264.8062</f>
        <v>0.2226144963504</v>
      </c>
      <c r="U287" s="36" t="n">
        <f aca="false">S287-2*R287</f>
        <v>-7.2235026703714</v>
      </c>
      <c r="V287" s="34" t="n">
        <f aca="false">-526*SIN(U287)+44*SIN(P287+U287)-31*SIN(-P287+U287)-23*SIN(Q287+U287)+11*SIN(-Q287+U287)-25*SIN(-2*P287+S287)+21*SIN(-P287+S287)</f>
        <v>449.115329768549</v>
      </c>
      <c r="W287" s="36" t="n">
        <f aca="false">2*PI()*(N287+O287/1296000-INT(N287+O287/1296000))</f>
        <v>1.00033433578782</v>
      </c>
      <c r="X287" s="35" t="n">
        <f aca="false">W287*180/PI()</f>
        <v>57.3149355426648</v>
      </c>
      <c r="Y287" s="36" t="n">
        <f aca="false">(18520*SIN(T287)+V287)/206264.8062</f>
        <v>0.022000687277275</v>
      </c>
      <c r="Z287" s="36" t="n">
        <f aca="false">Y287*180/PI()</f>
        <v>1.26054652737502</v>
      </c>
      <c r="AA287" s="36" t="n">
        <f aca="false">COS(Y287)*COS(W287)</f>
        <v>0.539890253849457</v>
      </c>
      <c r="AB287" s="36" t="n">
        <f aca="false">COS(Y287)*SIN(W287)</f>
        <v>0.841447895979156</v>
      </c>
      <c r="AC287" s="36" t="n">
        <f aca="false">SIN(Y287)</f>
        <v>0.0219989124872351</v>
      </c>
      <c r="AD287" s="36" t="n">
        <f aca="false">COS($A$10*(23.4393-46.815*L287/3600))*AB287-SIN($A$10*(23.4393-46.815*L287/3600))*AC287</f>
        <v>0.763280978952962</v>
      </c>
      <c r="AE287" s="36" t="n">
        <f aca="false">SIN($A$10*(23.4393-46.815*L287/3600))*AB287+COS($A$10*(23.4393-46.815*L287/3600))*AC287</f>
        <v>0.354853013185709</v>
      </c>
      <c r="AF287" s="36" t="n">
        <f aca="false">SQRT(1-AE287*AE287)</f>
        <v>0.934922103189898</v>
      </c>
      <c r="AG287" s="35" t="n">
        <f aca="false">ATAN(AE287/AF287)/$A$10</f>
        <v>20.7844361697068</v>
      </c>
      <c r="AH287" s="36" t="n">
        <f aca="false">IF(24*ATAN(AD287/(AA287+AF287))/PI()&gt;0,24*ATAN(AD287/(AA287+AF287))/PI(),24*ATAN(AD287/(AA287+AF287))/PI()+24)</f>
        <v>3.6484765983758</v>
      </c>
      <c r="AI287" s="63" t="n">
        <f aca="false">IF(M287-15*AH287&gt;0,M287-15*AH287,360+M287-15*AH287)</f>
        <v>341.812400741577</v>
      </c>
      <c r="AJ287" s="32" t="n">
        <f aca="false">0.950724+0.051818*COS(P287)+0.009531*COS(2*R287-P287)+0.007843*COS(2*R287)+0.002824*COS(2*P287)+0.000857*COS(2*R287+P287)+0.000533*COS(2*R287-Q287)*(1-0.002495*(J287-2415020)/36525)+0.000401*COS(2*R287-Q287-P287)*(1-0.002495*(J287-2415020)/36525)+0.00032*COS(P287-Q287)*(1-0.002495*(J287-2415020)/36525)-0.000271*COS(R287)</f>
        <v>0.929308429102835</v>
      </c>
      <c r="AK287" s="36" t="n">
        <f aca="false">ASIN(COS($A$10*$B$5)*COS($A$10*AG287)*COS($A$10*AI287)+SIN($A$10*$B$5)*SIN($A$10*AG287))/$A$10</f>
        <v>57.4333144325026</v>
      </c>
      <c r="AL287" s="32" t="n">
        <f aca="false">ASIN((0.9983271+0.0016764*COS($A$10*2*$B$5))*COS($A$10*AK287)*SIN($A$10*AJ287))/$A$10</f>
        <v>0.499230909924791</v>
      </c>
      <c r="AM287" s="32" t="n">
        <f aca="false">AK287-AL287</f>
        <v>56.9340835225778</v>
      </c>
      <c r="AN287" s="35" t="n">
        <f aca="false"> MOD(280.4664567 + 360007.6982779*L287/10 + 0.03032028*L287^2/100 + L287^3/49931000,360)</f>
        <v>201.545332178061</v>
      </c>
      <c r="AO287" s="32" t="n">
        <f aca="false"> AN287 + (1.9146 - 0.004817*L287 - 0.000014*L287^2)*SIN(Q287)+ (0.019993 - 0.000101*L287)*SIN(2*Q287)+ 0.00029*SIN(3*Q287)</f>
        <v>199.646079936087</v>
      </c>
      <c r="AP287" s="32" t="n">
        <f aca="false">ACOS(COS(W287-$A$10*AO287)*COS(Y287))/$A$10</f>
        <v>142.313187509566</v>
      </c>
      <c r="AQ287" s="34" t="n">
        <f aca="false">180 - AP287 -0.1468*(1-0.0549*SIN(Q287))*SIN($A$10*AP287)/(1-0.0167*SIN($A$10*AO287))</f>
        <v>37.5927188959641</v>
      </c>
      <c r="AR287" s="64" t="n">
        <f aca="false">SIN($A$10*AI287)</f>
        <v>-0.312129305165693</v>
      </c>
      <c r="AS287" s="64" t="n">
        <f aca="false">COS($A$10*AI287)*SIN($A$10*$B$5) - TAN($A$10*AG287)*COS($A$10*$B$5)</f>
        <v>0.483800252622309</v>
      </c>
      <c r="AT287" s="24" t="n">
        <f aca="false">IF(OR(AND(AR287*AS287&gt;0), AND(AR287&lt;0,AS287&gt;0)), MOD(ATAN2(AS287,AR287)/$A$10+360,360),  ATAN2(AS287,AR287)/$A$10)</f>
        <v>327.171449016372</v>
      </c>
      <c r="AU287" s="39" t="n">
        <f aca="false"> 385000.56 + (-20905355*COS(P287) - 3699111*COS(2*R287-P287) - 2955968*COS(2*R287) - 569925*COS(2*P287) + (1-0.002516*L287)*48888*COS(Q287) - 3149*COS(2*S287)  +246158*COS(2*R287-2*P287) -(1 - 0.002516*L287)*152138*COS(2*R287-Q287-P287) -170733*COS(2*R287+P287) -(1 - 0.002516*L287)*204586*COS(2*R287-Q287) -(1 - 0.002516*L287)*129620*COS(Q287-P287)  + 108743*COS(R287) +(1-0.002516*L287)*104755*COS(Q287+P287) +10321*COS(2*R287-2*S287) +79661*COS(P287-2*S287) -34782*COS(4*R287-P287) -23210*COS(3*P287)  -21636*COS(4*R287-2*P287) +(1 - 0.002516*L287)*24208*COS(2*R287+Q287-P287) +(1 - 0.002516*L287)*30824*COS(2*R287+Q287) -8379*COS(R287-P287) -(1 - 0.002516*L287)*16675*COS(R287+Q287)  -(1 - 0.002516*L287)*12831*COS(2*R287-Q287+P287) -10445*COS(2*R287+2*P287) -11650*COS(4*R287) +14403*COS(2*R287-3*P287) -(1-0.002516*L287)*7003*COS(Q287-2*P287)  + (1 - 0.002516*L287)*10056*COS(2*R287-Q287-2*P287) +6322*COS(R287+P287) -(1 - 0.002516*L287)*(1-0.002516*L287)*9884*COS(2*R287-2*Q287) +(1-0.002516*L287)*5751*COS(Q287+2*P287) - (1-0.002516*L287)^2*4950*COS(2*R287-2*Q287-P287)  +4130*COS(2*R287+P287-2*S287) -(1-0.002516*L287)*3958*COS(4*R287-Q287-P287) +3258*COS(3*R287-P287) +(1 - 0.002516*L287)*2616*COS(2*R287+Q287+P287) -(1 - 0.002516*L287)*1897*COS(4*R287-Q287-2*P287)  -(1-0.002516*L287)^2*2117*COS(2*Q287-P287) +(1-0.002516*L287)^2*2354*COS(2*R287+2*Q287-P287) -1423*COS(4*R287+P287) -1117*COS(4*P287) -(1-0.002516*L287)*1571*COS(4*R287-Q287)  -1739*COS(R287-2*P287) -4421*COS(2*P287-2*S287) +(1-0.002516*L287)^2*1165*COS(2*Q287+P287) +8752*COS(2*R287-P287-2*S287))/1000</f>
        <v>393194.332797055</v>
      </c>
      <c r="AV287" s="54" t="n">
        <f aca="false">ATAN(0.99664719*TAN($A$10*input!$E$2))</f>
        <v>0.871010436227447</v>
      </c>
      <c r="AW287" s="54" t="n">
        <f aca="false">COS(AV287)</f>
        <v>0.644053912545845</v>
      </c>
      <c r="AX287" s="54" t="n">
        <f aca="false">0.99664719*SIN(AV287)</f>
        <v>0.762415269897027</v>
      </c>
      <c r="AY287" s="54" t="n">
        <f aca="false">6378.14/AU287</f>
        <v>0.0162213426491374</v>
      </c>
      <c r="AZ287" s="55" t="n">
        <f aca="false">M287-15*AH287</f>
        <v>-18.1875992584231</v>
      </c>
      <c r="BA287" s="56" t="n">
        <f aca="false">COS($A$10*AG287)*SIN($A$10*AZ287)</f>
        <v>-0.291816586452712</v>
      </c>
      <c r="BB287" s="56" t="n">
        <f aca="false">COS($A$10*AG287)*COS($A$10*AZ287)-AW287*AY287</f>
        <v>0.877765628950186</v>
      </c>
      <c r="BC287" s="56" t="n">
        <f aca="false">SIN($A$10*AG287)-AX287*AY287</f>
        <v>0.342485613851775</v>
      </c>
      <c r="BD287" s="57" t="n">
        <f aca="false">SQRT(BA287^2+BB287^2+BC287^2)</f>
        <v>0.986370019409885</v>
      </c>
      <c r="BE287" s="58" t="n">
        <f aca="false">AU287*BD287</f>
        <v>387835.101672888</v>
      </c>
    </row>
    <row r="288" customFormat="false" ht="15" hidden="false" customHeight="false" outlineLevel="0" collapsed="false">
      <c r="D288" s="41" t="n">
        <f aca="false">K288-INT(275*E288/9)+IF($A$8="common year",2,1)*INT((E288+9)/12)+30</f>
        <v>14</v>
      </c>
      <c r="E288" s="41" t="n">
        <f aca="false">IF(K288&lt;32,1,INT(9*(IF($A$8="common year",2,1)+K288)/275+0.98))</f>
        <v>10</v>
      </c>
      <c r="F288" s="42" t="n">
        <f aca="false">AM288</f>
        <v>54.6682154984399</v>
      </c>
      <c r="G288" s="60" t="n">
        <f aca="false">F288+1.02/(TAN($A$10*(F288+10.3/(F288+5.11)))*60)</f>
        <v>54.6801896834607</v>
      </c>
      <c r="H288" s="43" t="n">
        <f aca="false">100*(1+COS($A$10*AQ288))/2</f>
        <v>82.8069953516032</v>
      </c>
      <c r="I288" s="43" t="n">
        <f aca="false">IF(AI288&gt;180,AT288-180,AT288+180)</f>
        <v>126.64239989843</v>
      </c>
      <c r="J288" s="61" t="n">
        <f aca="false">$J$2+K287</f>
        <v>2459866.5</v>
      </c>
      <c r="K288" s="21" t="n">
        <v>287</v>
      </c>
      <c r="L288" s="62" t="n">
        <f aca="false">(J288-2451545)/36525</f>
        <v>0.227830253251198</v>
      </c>
      <c r="M288" s="63" t="n">
        <f aca="false">MOD(280.46061837+360.98564736629*(J288-2451545)+0.000387933*L288^2-L288^3/38710000+$B$7,360)</f>
        <v>37.5251970877871</v>
      </c>
      <c r="N288" s="30" t="n">
        <f aca="false">0.606433+1336.855225*L288 - INT(0.606433+1336.855225*L288)</f>
        <v>0.18249747193704</v>
      </c>
      <c r="O288" s="35" t="n">
        <f aca="false">22640*SIN(P288)-4586*SIN(P288-2*R288)+2370*SIN(2*R288)+769*SIN(2*P288)-668*SIN(Q288)-412*SIN(2*S288)-212*SIN(2*P288-2*R288)-206*SIN(P288+Q288-2*R288)+192*SIN(P288+2*R288)-165*SIN(Q288-2*R288)-125*SIN(R288)-110*SIN(P288+Q288)+148*SIN(P288-Q288)-55*SIN(2*S288-2*R288)</f>
        <v>14422.1262360374</v>
      </c>
      <c r="P288" s="32" t="n">
        <f aca="false">2*PI()*(0.374897+1325.55241*L288 - INT(0.374897+1325.55241*L288))</f>
        <v>2.36146148359698</v>
      </c>
      <c r="Q288" s="36" t="n">
        <f aca="false">2*PI()*(0.993133+99.997361*L288 - INT(0.993133+99.997361*L288))</f>
        <v>4.87296885673007</v>
      </c>
      <c r="R288" s="36" t="n">
        <f aca="false">2*PI()*(0.827361+1236.853086*L288 - INT(0.827361+1236.853086*L288))</f>
        <v>3.89502710919658</v>
      </c>
      <c r="S288" s="36" t="n">
        <f aca="false">2*PI()*(0.259086+1342.227825*L288 - INT(0.259086+1342.227825*L288))</f>
        <v>0.37190984712473</v>
      </c>
      <c r="T288" s="36" t="n">
        <f aca="false">S288+(O288+412*SIN(2*S288)+541*SIN(Q288))/206264.8062</f>
        <v>0.4405936586543</v>
      </c>
      <c r="U288" s="36" t="n">
        <f aca="false">S288-2*R288</f>
        <v>-7.41814437126844</v>
      </c>
      <c r="V288" s="34" t="n">
        <f aca="false">-526*SIN(U288)+44*SIN(P288+U288)-31*SIN(-P288+U288)-23*SIN(Q288+U288)+11*SIN(-Q288+U288)-25*SIN(-2*P288+S288)+21*SIN(-P288+S288)</f>
        <v>480.813033744227</v>
      </c>
      <c r="W288" s="36" t="n">
        <f aca="false">2*PI()*(N288+O288/1296000-INT(N288+O288/1296000))</f>
        <v>1.21658587537143</v>
      </c>
      <c r="X288" s="35" t="n">
        <f aca="false">W288*180/PI()</f>
        <v>69.7052360740115</v>
      </c>
      <c r="Y288" s="36" t="n">
        <f aca="false">(18520*SIN(T288)+V288)/206264.8062</f>
        <v>0.0406233037781982</v>
      </c>
      <c r="Z288" s="36" t="n">
        <f aca="false">Y288*180/PI()</f>
        <v>2.32754385636861</v>
      </c>
      <c r="AA288" s="36" t="n">
        <f aca="false">COS(Y288)*COS(W288)</f>
        <v>0.346563783832558</v>
      </c>
      <c r="AB288" s="36" t="n">
        <f aca="false">COS(Y288)*SIN(W288)</f>
        <v>0.937146839350268</v>
      </c>
      <c r="AC288" s="36" t="n">
        <f aca="false">SIN(Y288)</f>
        <v>0.0406121315798847</v>
      </c>
      <c r="AD288" s="36" t="n">
        <f aca="false">COS($A$10*(23.4393-46.815*L288/3600))*AB288-SIN($A$10*(23.4393-46.815*L288/3600))*AC288</f>
        <v>0.8436819745272</v>
      </c>
      <c r="AE288" s="36" t="n">
        <f aca="false">SIN($A$10*(23.4393-46.815*L288/3600))*AB288+COS($A$10*(23.4393-46.815*L288/3600))*AC288</f>
        <v>0.409993011639887</v>
      </c>
      <c r="AF288" s="36" t="n">
        <f aca="false">SQRT(1-AE288*AE288)</f>
        <v>0.912088663676101</v>
      </c>
      <c r="AG288" s="35" t="n">
        <f aca="false">ATAN(AE288/AF288)/$A$10</f>
        <v>24.2043958044116</v>
      </c>
      <c r="AH288" s="36" t="n">
        <f aca="false">IF(24*ATAN(AD288/(AA288+AF288))/PI()&gt;0,24*ATAN(AD288/(AA288+AF288))/PI(),24*ATAN(AD288/(AA288+AF288))/PI()+24)</f>
        <v>4.51122323209271</v>
      </c>
      <c r="AI288" s="63" t="n">
        <f aca="false">IF(M288-15*AH288&gt;0,M288-15*AH288,360+M288-15*AH288)</f>
        <v>329.856848606397</v>
      </c>
      <c r="AJ288" s="32" t="n">
        <f aca="false">0.950724+0.051818*COS(P288)+0.009531*COS(2*R288-P288)+0.007843*COS(2*R288)+0.002824*COS(2*P288)+0.000857*COS(2*R288+P288)+0.000533*COS(2*R288-Q288)*(1-0.002495*(J288-2415020)/36525)+0.000401*COS(2*R288-Q288-P288)*(1-0.002495*(J288-2415020)/36525)+0.00032*COS(P288-Q288)*(1-0.002495*(J288-2415020)/36525)-0.000271*COS(R288)</f>
        <v>0.919799818271943</v>
      </c>
      <c r="AK288" s="36" t="n">
        <f aca="false">ASIN(COS($A$10*$B$5)*COS($A$10*AG288)*COS($A$10*AI288)+SIN($A$10*$B$5)*SIN($A$10*AG288))/$A$10</f>
        <v>55.1922139744369</v>
      </c>
      <c r="AL288" s="32" t="n">
        <f aca="false">ASIN((0.9983271+0.0016764*COS($A$10*2*$B$5))*COS($A$10*AK288)*SIN($A$10*AJ288))/$A$10</f>
        <v>0.523998475997031</v>
      </c>
      <c r="AM288" s="32" t="n">
        <f aca="false">AK288-AL288</f>
        <v>54.6682154984399</v>
      </c>
      <c r="AN288" s="35" t="n">
        <f aca="false"> MOD(280.4664567 + 360007.6982779*L288/10 + 0.03032028*L288^2/100 + L288^3/49931000,360)</f>
        <v>202.530979541949</v>
      </c>
      <c r="AO288" s="32" t="n">
        <f aca="false"> AN288 + (1.9146 - 0.004817*L288 - 0.000014*L288^2)*SIN(Q288)+ (0.019993 - 0.000101*L288)*SIN(2*Q288)+ 0.00029*SIN(3*Q288)</f>
        <v>200.63604856368</v>
      </c>
      <c r="AP288" s="32" t="n">
        <f aca="false">ACOS(COS(W288-$A$10*AO288)*COS(Y288))/$A$10</f>
        <v>130.889834327613</v>
      </c>
      <c r="AQ288" s="34" t="n">
        <f aca="false">180 - AP288 -0.1468*(1-0.0549*SIN(Q288))*SIN($A$10*AP288)/(1-0.0167*SIN($A$10*AO288))</f>
        <v>48.9938596429283</v>
      </c>
      <c r="AR288" s="64" t="n">
        <f aca="false">SIN($A$10*AI288)</f>
        <v>-0.502162169726063</v>
      </c>
      <c r="AS288" s="64" t="n">
        <f aca="false">COS($A$10*AI288)*SIN($A$10*$B$5) - TAN($A$10*AG288)*COS($A$10*$B$5)</f>
        <v>0.373515427535501</v>
      </c>
      <c r="AT288" s="24" t="n">
        <f aca="false">IF(OR(AND(AR288*AS288&gt;0), AND(AR288&lt;0,AS288&gt;0)), MOD(ATAN2(AS288,AR288)/$A$10+360,360),  ATAN2(AS288,AR288)/$A$10)</f>
        <v>306.64239989843</v>
      </c>
      <c r="AU288" s="39" t="n">
        <f aca="false"> 385000.56 + (-20905355*COS(P288) - 3699111*COS(2*R288-P288) - 2955968*COS(2*R288) - 569925*COS(2*P288) + (1-0.002516*L288)*48888*COS(Q288) - 3149*COS(2*S288)  +246158*COS(2*R288-2*P288) -(1 - 0.002516*L288)*152138*COS(2*R288-Q288-P288) -170733*COS(2*R288+P288) -(1 - 0.002516*L288)*204586*COS(2*R288-Q288) -(1 - 0.002516*L288)*129620*COS(Q288-P288)  + 108743*COS(R288) +(1-0.002516*L288)*104755*COS(Q288+P288) +10321*COS(2*R288-2*S288) +79661*COS(P288-2*S288) -34782*COS(4*R288-P288) -23210*COS(3*P288)  -21636*COS(4*R288-2*P288) +(1 - 0.002516*L288)*24208*COS(2*R288+Q288-P288) +(1 - 0.002516*L288)*30824*COS(2*R288+Q288) -8379*COS(R288-P288) -(1 - 0.002516*L288)*16675*COS(R288+Q288)  -(1 - 0.002516*L288)*12831*COS(2*R288-Q288+P288) -10445*COS(2*R288+2*P288) -11650*COS(4*R288) +14403*COS(2*R288-3*P288) -(1-0.002516*L288)*7003*COS(Q288-2*P288)  + (1 - 0.002516*L288)*10056*COS(2*R288-Q288-2*P288) +6322*COS(R288+P288) -(1 - 0.002516*L288)*(1-0.002516*L288)*9884*COS(2*R288-2*Q288) +(1-0.002516*L288)*5751*COS(Q288+2*P288) - (1-0.002516*L288)^2*4950*COS(2*R288-2*Q288-P288)  +4130*COS(2*R288+P288-2*S288) -(1-0.002516*L288)*3958*COS(4*R288-Q288-P288) +3258*COS(3*R288-P288) +(1 - 0.002516*L288)*2616*COS(2*R288+Q288+P288) -(1 - 0.002516*L288)*1897*COS(4*R288-Q288-2*P288)  -(1-0.002516*L288)^2*2117*COS(2*Q288-P288) +(1-0.002516*L288)^2*2354*COS(2*R288+2*Q288-P288) -1423*COS(4*R288+P288) -1117*COS(4*P288) -(1-0.002516*L288)*1571*COS(4*R288-Q288)  -1739*COS(R288-2*P288) -4421*COS(2*P288-2*S288) +(1-0.002516*L288)^2*1165*COS(2*Q288+P288) +8752*COS(2*R288-P288-2*S288))/1000</f>
        <v>397265.214038636</v>
      </c>
      <c r="AV288" s="54" t="n">
        <f aca="false">ATAN(0.99664719*TAN($A$10*input!$E$2))</f>
        <v>0.871010436227447</v>
      </c>
      <c r="AW288" s="54" t="n">
        <f aca="false">COS(AV288)</f>
        <v>0.644053912545845</v>
      </c>
      <c r="AX288" s="54" t="n">
        <f aca="false">0.99664719*SIN(AV288)</f>
        <v>0.762415269897027</v>
      </c>
      <c r="AY288" s="54" t="n">
        <f aca="false">6378.14/AU288</f>
        <v>0.0160551182802019</v>
      </c>
      <c r="AZ288" s="55" t="n">
        <f aca="false">M288-15*AH288</f>
        <v>-30.1431513936035</v>
      </c>
      <c r="BA288" s="56" t="n">
        <f aca="false">COS($A$10*AG288)*SIN($A$10*AZ288)</f>
        <v>-0.458016422334137</v>
      </c>
      <c r="BB288" s="56" t="n">
        <f aca="false">COS($A$10*AG288)*COS($A$10*AZ288)-AW288*AY288</f>
        <v>0.778409717354259</v>
      </c>
      <c r="BC288" s="56" t="n">
        <f aca="false">SIN($A$10*AG288)-AX288*AY288</f>
        <v>0.397752344303058</v>
      </c>
      <c r="BD288" s="57" t="n">
        <f aca="false">SQRT(BA288^2+BB288^2+BC288^2)</f>
        <v>0.986867599325197</v>
      </c>
      <c r="BE288" s="58" t="n">
        <f aca="false">AU288*BD288</f>
        <v>392048.168073719</v>
      </c>
    </row>
    <row r="289" customFormat="false" ht="15" hidden="false" customHeight="false" outlineLevel="0" collapsed="false">
      <c r="D289" s="41" t="n">
        <f aca="false">K289-INT(275*E289/9)+IF($A$8="common year",2,1)*INT((E289+9)/12)+30</f>
        <v>15</v>
      </c>
      <c r="E289" s="41" t="n">
        <f aca="false">IF(K289&lt;32,1,INT(9*(IF($A$8="common year",2,1)+K289)/275+0.98))</f>
        <v>10</v>
      </c>
      <c r="F289" s="42" t="n">
        <f aca="false">AM289</f>
        <v>49.4240817548291</v>
      </c>
      <c r="G289" s="60" t="n">
        <f aca="false">F289+1.02/(TAN($A$10*(F289+10.3/(F289+5.11)))*60)</f>
        <v>49.4385432624617</v>
      </c>
      <c r="H289" s="43" t="n">
        <f aca="false">100*(1+COS($A$10*AQ289))/2</f>
        <v>74.884197053259</v>
      </c>
      <c r="I289" s="43" t="n">
        <f aca="false">IF(AI289&gt;180,AT289-180,AT289+180)</f>
        <v>110.032707571045</v>
      </c>
      <c r="J289" s="61" t="n">
        <f aca="false">$J$2+K288</f>
        <v>2459867.5</v>
      </c>
      <c r="K289" s="21" t="n">
        <v>288</v>
      </c>
      <c r="L289" s="62" t="n">
        <f aca="false">(J289-2451545)/36525</f>
        <v>0.227857631759069</v>
      </c>
      <c r="M289" s="63" t="n">
        <f aca="false">MOD(280.46061837+360.98564736629*(J289-2451545)+0.000387933*L289^2-L289^3/38710000+$B$7,360)</f>
        <v>38.5108444592916</v>
      </c>
      <c r="N289" s="30" t="n">
        <f aca="false">0.606433+1336.855225*L289 - INT(0.606433+1336.855225*L289)</f>
        <v>0.219098573237488</v>
      </c>
      <c r="O289" s="35" t="n">
        <f aca="false">22640*SIN(P289)-4586*SIN(P289-2*R289)+2370*SIN(2*R289)+769*SIN(2*P289)-668*SIN(Q289)-412*SIN(2*S289)-212*SIN(2*P289-2*R289)-206*SIN(P289+Q289-2*R289)+192*SIN(P289+2*R289)-165*SIN(Q289-2*R289)-125*SIN(R289)-110*SIN(P289+Q289)+148*SIN(P289-Q289)-55*SIN(2*S289-2*R289)</f>
        <v>10744.1367842457</v>
      </c>
      <c r="P289" s="32" t="n">
        <f aca="false">2*PI()*(0.374897+1325.55241*L289 - INT(0.374897+1325.55241*L289))</f>
        <v>2.58948862737244</v>
      </c>
      <c r="Q289" s="36" t="n">
        <f aca="false">2*PI()*(0.993133+99.997361*L289 - INT(0.993133+99.997361*L289))</f>
        <v>4.89017082659705</v>
      </c>
      <c r="R289" s="36" t="n">
        <f aca="false">2*PI()*(0.827361+1236.853086*L289 - INT(0.827361+1236.853086*L289))</f>
        <v>4.10779581931525</v>
      </c>
      <c r="S289" s="36" t="n">
        <f aca="false">2*PI()*(0.259086+1342.227825*L289 - INT(0.259086+1342.227825*L289))</f>
        <v>0.602805566465377</v>
      </c>
      <c r="T289" s="36" t="n">
        <f aca="false">S289+(O289+412*SIN(2*S289)+541*SIN(Q289))/206264.8062</f>
        <v>0.654178826692295</v>
      </c>
      <c r="U289" s="36" t="n">
        <f aca="false">S289-2*R289</f>
        <v>-7.61278607216513</v>
      </c>
      <c r="V289" s="34" t="n">
        <f aca="false">-526*SIN(U289)+44*SIN(P289+U289)-31*SIN(-P289+U289)-23*SIN(Q289+U289)+11*SIN(-Q289+U289)-25*SIN(-2*P289+S289)+21*SIN(-P289+S289)</f>
        <v>496.993713683217</v>
      </c>
      <c r="W289" s="36" t="n">
        <f aca="false">2*PI()*(N289+O289/1296000-INT(N289+O289/1296000))</f>
        <v>1.42872598123694</v>
      </c>
      <c r="X289" s="35" t="n">
        <f aca="false">W289*180/PI()</f>
        <v>81.8599688055641</v>
      </c>
      <c r="Y289" s="36" t="n">
        <f aca="false">(18520*SIN(T289)+V289)/206264.8062</f>
        <v>0.0570458845539974</v>
      </c>
      <c r="Z289" s="36" t="n">
        <f aca="false">Y289*180/PI()</f>
        <v>3.26848842353458</v>
      </c>
      <c r="AA289" s="36" t="n">
        <f aca="false">COS(Y289)*COS(W289)</f>
        <v>0.141362577730781</v>
      </c>
      <c r="AB289" s="36" t="n">
        <f aca="false">COS(Y289)*SIN(W289)</f>
        <v>0.988314685286088</v>
      </c>
      <c r="AC289" s="36" t="n">
        <f aca="false">SIN(Y289)</f>
        <v>0.0570149494884442</v>
      </c>
      <c r="AD289" s="36" t="n">
        <f aca="false">COS($A$10*(23.4393-46.815*L289/3600))*AB289-SIN($A$10*(23.4393-46.815*L289/3600))*AC289</f>
        <v>0.884104716952133</v>
      </c>
      <c r="AE289" s="36" t="n">
        <f aca="false">SIN($A$10*(23.4393-46.815*L289/3600))*AB289+COS($A$10*(23.4393-46.815*L289/3600))*AC289</f>
        <v>0.445393613650104</v>
      </c>
      <c r="AF289" s="36" t="n">
        <f aca="false">SQRT(1-AE289*AE289)</f>
        <v>0.895334869710603</v>
      </c>
      <c r="AG289" s="35" t="n">
        <f aca="false">ATAN(AE289/AF289)/$A$10</f>
        <v>26.4485248017196</v>
      </c>
      <c r="AH289" s="36" t="n">
        <f aca="false">IF(24*ATAN(AD289/(AA289+AF289))/PI()&gt;0,24*ATAN(AD289/(AA289+AF289))/PI(),24*ATAN(AD289/(AA289+AF289))/PI()+24)</f>
        <v>5.39437827463536</v>
      </c>
      <c r="AI289" s="63" t="n">
        <f aca="false">IF(M289-15*AH289&gt;0,M289-15*AH289,360+M289-15*AH289)</f>
        <v>317.595170339761</v>
      </c>
      <c r="AJ289" s="32" t="n">
        <f aca="false">0.950724+0.051818*COS(P289)+0.009531*COS(2*R289-P289)+0.007843*COS(2*R289)+0.002824*COS(2*P289)+0.000857*COS(2*R289+P289)+0.000533*COS(2*R289-Q289)*(1-0.002495*(J289-2415020)/36525)+0.000401*COS(2*R289-Q289-P289)*(1-0.002495*(J289-2415020)/36525)+0.00032*COS(P289-Q289)*(1-0.002495*(J289-2415020)/36525)-0.000271*COS(R289)</f>
        <v>0.912200012185498</v>
      </c>
      <c r="AK289" s="36" t="n">
        <f aca="false">ASIN(COS($A$10*$B$5)*COS($A$10*AG289)*COS($A$10*AI289)+SIN($A$10*$B$5)*SIN($A$10*AG289))/$A$10</f>
        <v>50.0091550316393</v>
      </c>
      <c r="AL289" s="32" t="n">
        <f aca="false">ASIN((0.9983271+0.0016764*COS($A$10*2*$B$5))*COS($A$10*AK289)*SIN($A$10*AJ289))/$A$10</f>
        <v>0.585073276810194</v>
      </c>
      <c r="AM289" s="32" t="n">
        <f aca="false">AK289-AL289</f>
        <v>49.4240817548291</v>
      </c>
      <c r="AN289" s="35" t="n">
        <f aca="false"> MOD(280.4664567 + 360007.6982779*L289/10 + 0.03032028*L289^2/100 + L289^3/49931000,360)</f>
        <v>203.516626905834</v>
      </c>
      <c r="AO289" s="32" t="n">
        <f aca="false"> AN289 + (1.9146 - 0.004817*L289 - 0.000014*L289^2)*SIN(Q289)+ (0.019993 - 0.000101*L289)*SIN(2*Q289)+ 0.00029*SIN(3*Q289)</f>
        <v>201.626582888871</v>
      </c>
      <c r="AP289" s="32" t="n">
        <f aca="false">ACOS(COS(W289-$A$10*AO289)*COS(Y289))/$A$10</f>
        <v>119.713323270944</v>
      </c>
      <c r="AQ289" s="34" t="n">
        <f aca="false">180 - AP289 -0.1468*(1-0.0549*SIN(Q289))*SIN($A$10*AP289)/(1-0.0167*SIN($A$10*AO289))</f>
        <v>60.1531112940629</v>
      </c>
      <c r="AR289" s="64" t="n">
        <f aca="false">SIN($A$10*AI289)</f>
        <v>-0.674364632153316</v>
      </c>
      <c r="AS289" s="64" t="n">
        <f aca="false">COS($A$10*AI289)*SIN($A$10*$B$5) - TAN($A$10*AG289)*COS($A$10*$B$5)</f>
        <v>0.245884705971217</v>
      </c>
      <c r="AT289" s="24" t="n">
        <f aca="false">IF(OR(AND(AR289*AS289&gt;0), AND(AR289&lt;0,AS289&gt;0)), MOD(ATAN2(AS289,AR289)/$A$10+360,360),  ATAN2(AS289,AR289)/$A$10)</f>
        <v>290.032707571045</v>
      </c>
      <c r="AU289" s="39" t="n">
        <f aca="false"> 385000.56 + (-20905355*COS(P289) - 3699111*COS(2*R289-P289) - 2955968*COS(2*R289) - 569925*COS(2*P289) + (1-0.002516*L289)*48888*COS(Q289) - 3149*COS(2*S289)  +246158*COS(2*R289-2*P289) -(1 - 0.002516*L289)*152138*COS(2*R289-Q289-P289) -170733*COS(2*R289+P289) -(1 - 0.002516*L289)*204586*COS(2*R289-Q289) -(1 - 0.002516*L289)*129620*COS(Q289-P289)  + 108743*COS(R289) +(1-0.002516*L289)*104755*COS(Q289+P289) +10321*COS(2*R289-2*S289) +79661*COS(P289-2*S289) -34782*COS(4*R289-P289) -23210*COS(3*P289)  -21636*COS(4*R289-2*P289) +(1 - 0.002516*L289)*24208*COS(2*R289+Q289-P289) +(1 - 0.002516*L289)*30824*COS(2*R289+Q289) -8379*COS(R289-P289) -(1 - 0.002516*L289)*16675*COS(R289+Q289)  -(1 - 0.002516*L289)*12831*COS(2*R289-Q289+P289) -10445*COS(2*R289+2*P289) -11650*COS(4*R289) +14403*COS(2*R289-3*P289) -(1-0.002516*L289)*7003*COS(Q289-2*P289)  + (1 - 0.002516*L289)*10056*COS(2*R289-Q289-2*P289) +6322*COS(R289+P289) -(1 - 0.002516*L289)*(1-0.002516*L289)*9884*COS(2*R289-2*Q289) +(1-0.002516*L289)*5751*COS(Q289+2*P289) - (1-0.002516*L289)^2*4950*COS(2*R289-2*Q289-P289)  +4130*COS(2*R289+P289-2*S289) -(1-0.002516*L289)*3958*COS(4*R289-Q289-P289) +3258*COS(3*R289-P289) +(1 - 0.002516*L289)*2616*COS(2*R289+Q289+P289) -(1 - 0.002516*L289)*1897*COS(4*R289-Q289-2*P289)  -(1-0.002516*L289)^2*2117*COS(2*Q289-P289) +(1-0.002516*L289)^2*2354*COS(2*R289+2*Q289-P289) -1423*COS(4*R289+P289) -1117*COS(4*P289) -(1-0.002516*L289)*1571*COS(4*R289-Q289)  -1739*COS(R289-2*P289) -4421*COS(2*P289-2*S289) +(1-0.002516*L289)^2*1165*COS(2*Q289+P289) +8752*COS(2*R289-P289-2*S289))/1000</f>
        <v>400625.949580846</v>
      </c>
      <c r="AV289" s="54" t="n">
        <f aca="false">ATAN(0.99664719*TAN($A$10*input!$E$2))</f>
        <v>0.871010436227447</v>
      </c>
      <c r="AW289" s="54" t="n">
        <f aca="false">COS(AV289)</f>
        <v>0.644053912545845</v>
      </c>
      <c r="AX289" s="54" t="n">
        <f aca="false">0.99664719*SIN(AV289)</f>
        <v>0.762415269897027</v>
      </c>
      <c r="AY289" s="54" t="n">
        <f aca="false">6378.14/AU289</f>
        <v>0.0159204365235779</v>
      </c>
      <c r="AZ289" s="55" t="n">
        <f aca="false">M289-15*AH289</f>
        <v>-42.4048296602388</v>
      </c>
      <c r="BA289" s="56" t="n">
        <f aca="false">COS($A$10*AG289)*SIN($A$10*AZ289)</f>
        <v>-0.603782170066429</v>
      </c>
      <c r="BB289" s="56" t="n">
        <f aca="false">COS($A$10*AG289)*COS($A$10*AZ289)-AW289*AY289</f>
        <v>0.65086030420672</v>
      </c>
      <c r="BC289" s="56" t="n">
        <f aca="false">SIN($A$10*AG289)-AX289*AY289</f>
        <v>0.433255629741102</v>
      </c>
      <c r="BD289" s="57" t="n">
        <f aca="false">SQRT(BA289^2+BB289^2+BC289^2)</f>
        <v>0.987867645580393</v>
      </c>
      <c r="BE289" s="58" t="n">
        <f aca="false">AU289*BD289</f>
        <v>395765.41357084</v>
      </c>
    </row>
    <row r="290" customFormat="false" ht="15" hidden="false" customHeight="false" outlineLevel="0" collapsed="false">
      <c r="D290" s="41" t="n">
        <f aca="false">K290-INT(275*E290/9)+IF($A$8="common year",2,1)*INT((E290+9)/12)+30</f>
        <v>16</v>
      </c>
      <c r="E290" s="41" t="n">
        <f aca="false">IF(K290&lt;32,1,INT(9*(IF($A$8="common year",2,1)+K290)/275+0.98))</f>
        <v>10</v>
      </c>
      <c r="F290" s="42" t="n">
        <f aca="false">AM290</f>
        <v>42.2998829917437</v>
      </c>
      <c r="G290" s="60" t="n">
        <f aca="false">F290+1.02/(TAN($A$10*(F290+10.3/(F290+5.11)))*60)</f>
        <v>42.3184240994839</v>
      </c>
      <c r="H290" s="43" t="n">
        <f aca="false">100*(1+COS($A$10*AQ290))/2</f>
        <v>66.1673317086799</v>
      </c>
      <c r="I290" s="43" t="n">
        <f aca="false">IF(AI290&gt;180,AT290-180,AT290+180)</f>
        <v>97.4996928504361</v>
      </c>
      <c r="J290" s="61" t="n">
        <f aca="false">$J$2+K289</f>
        <v>2459868.5</v>
      </c>
      <c r="K290" s="21" t="n">
        <v>289</v>
      </c>
      <c r="L290" s="62" t="n">
        <f aca="false">(J290-2451545)/36525</f>
        <v>0.22788501026694</v>
      </c>
      <c r="M290" s="63" t="n">
        <f aca="false">MOD(280.46061837+360.98564736629*(J290-2451545)+0.000387933*L290^2-L290^3/38710000+$B$7,360)</f>
        <v>39.4964918303303</v>
      </c>
      <c r="N290" s="30" t="n">
        <f aca="false">0.606433+1336.855225*L290 - INT(0.606433+1336.855225*L290)</f>
        <v>0.255699674537937</v>
      </c>
      <c r="O290" s="35" t="n">
        <f aca="false">22640*SIN(P290)-4586*SIN(P290-2*R290)+2370*SIN(2*R290)+769*SIN(2*P290)-668*SIN(Q290)-412*SIN(2*S290)-212*SIN(2*P290-2*R290)-206*SIN(P290+Q290-2*R290)+192*SIN(P290+2*R290)-165*SIN(Q290-2*R290)-125*SIN(R290)-110*SIN(P290+Q290)+148*SIN(P290-Q290)-55*SIN(2*S290-2*R290)</f>
        <v>6470.22358356273</v>
      </c>
      <c r="P290" s="32" t="n">
        <f aca="false">2*PI()*(0.374897+1325.55241*L290 - INT(0.374897+1325.55241*L290))</f>
        <v>2.81751577114825</v>
      </c>
      <c r="Q290" s="36" t="n">
        <f aca="false">2*PI()*(0.993133+99.997361*L290 - INT(0.993133+99.997361*L290))</f>
        <v>4.90737279646404</v>
      </c>
      <c r="R290" s="36" t="n">
        <f aca="false">2*PI()*(0.827361+1236.853086*L290 - INT(0.827361+1236.853086*L290))</f>
        <v>4.32056452943428</v>
      </c>
      <c r="S290" s="36" t="n">
        <f aca="false">2*PI()*(0.259086+1342.227825*L290 - INT(0.259086+1342.227825*L290))</f>
        <v>0.833701285806381</v>
      </c>
      <c r="T290" s="36" t="n">
        <f aca="false">S290+(O290+412*SIN(2*S290)+541*SIN(Q290))/206264.8062</f>
        <v>0.864484792502041</v>
      </c>
      <c r="U290" s="36" t="n">
        <f aca="false">S290-2*R290</f>
        <v>-7.80742777306217</v>
      </c>
      <c r="V290" s="34" t="n">
        <f aca="false">-526*SIN(U290)+44*SIN(P290+U290)-31*SIN(-P290+U290)-23*SIN(Q290+U290)+11*SIN(-Q290+U290)-25*SIN(-2*P290+S290)+21*SIN(-P290+S290)</f>
        <v>498.590867933416</v>
      </c>
      <c r="W290" s="36" t="n">
        <f aca="false">2*PI()*(N290+O290/1296000-INT(N290+O290/1296000))</f>
        <v>1.63797696723885</v>
      </c>
      <c r="X290" s="35" t="n">
        <f aca="false">W290*180/PI()</f>
        <v>93.8491671624246</v>
      </c>
      <c r="Y290" s="36" t="n">
        <f aca="false">(18520*SIN(T290)+V290)/206264.8062</f>
        <v>0.070724058341981</v>
      </c>
      <c r="Z290" s="36" t="n">
        <f aca="false">Y290*180/PI()</f>
        <v>4.05219005303252</v>
      </c>
      <c r="AA290" s="36" t="n">
        <f aca="false">COS(Y290)*COS(W290)</f>
        <v>-0.0669622992916696</v>
      </c>
      <c r="AB290" s="36" t="n">
        <f aca="false">COS(Y290)*SIN(W290)</f>
        <v>0.995249964646046</v>
      </c>
      <c r="AC290" s="36" t="n">
        <f aca="false">SIN(Y290)</f>
        <v>0.0706651140635721</v>
      </c>
      <c r="AD290" s="36" t="n">
        <f aca="false">COS($A$10*(23.4393-46.815*L290/3600))*AB290-SIN($A$10*(23.4393-46.815*L290/3600))*AC290</f>
        <v>0.885038778554024</v>
      </c>
      <c r="AE290" s="36" t="n">
        <f aca="false">SIN($A$10*(23.4393-46.815*L290/3600))*AB290+COS($A$10*(23.4393-46.815*L290/3600))*AC290</f>
        <v>0.460676036851467</v>
      </c>
      <c r="AF290" s="36" t="n">
        <f aca="false">SQRT(1-AE290*AE290)</f>
        <v>0.887568357407375</v>
      </c>
      <c r="AG290" s="35" t="n">
        <f aca="false">ATAN(AE290/AF290)/$A$10</f>
        <v>27.4307395321364</v>
      </c>
      <c r="AH290" s="36" t="n">
        <f aca="false">IF(24*ATAN(AD290/(AA290+AF290))/PI()&gt;0,24*ATAN(AD290/(AA290+AF290))/PI(),24*ATAN(AD290/(AA290+AF290))/PI()+24)</f>
        <v>6.28845148292806</v>
      </c>
      <c r="AI290" s="63" t="n">
        <f aca="false">IF(M290-15*AH290&gt;0,M290-15*AH290,360+M290-15*AH290)</f>
        <v>305.169719586409</v>
      </c>
      <c r="AJ290" s="32" t="n">
        <f aca="false">0.950724+0.051818*COS(P290)+0.009531*COS(2*R290-P290)+0.007843*COS(2*R290)+0.002824*COS(2*P290)+0.000857*COS(2*R290+P290)+0.000533*COS(2*R290-Q290)*(1-0.002495*(J290-2415020)/36525)+0.000401*COS(2*R290-Q290-P290)*(1-0.002495*(J290-2415020)/36525)+0.00032*COS(P290-Q290)*(1-0.002495*(J290-2415020)/36525)-0.000271*COS(R290)</f>
        <v>0.906971772411208</v>
      </c>
      <c r="AK290" s="36" t="n">
        <f aca="false">ASIN(COS($A$10*$B$5)*COS($A$10*AG290)*COS($A$10*AI290)+SIN($A$10*$B$5)*SIN($A$10*AG290))/$A$10</f>
        <v>42.9622906486342</v>
      </c>
      <c r="AL290" s="32" t="n">
        <f aca="false">ASIN((0.9983271+0.0016764*COS($A$10*2*$B$5))*COS($A$10*AK290)*SIN($A$10*AJ290))/$A$10</f>
        <v>0.662407656890519</v>
      </c>
      <c r="AM290" s="32" t="n">
        <f aca="false">AK290-AL290</f>
        <v>42.2998829917437</v>
      </c>
      <c r="AN290" s="35" t="n">
        <f aca="false"> MOD(280.4664567 + 360007.6982779*L290/10 + 0.03032028*L290^2/100 + L290^3/49931000,360)</f>
        <v>204.50227426972</v>
      </c>
      <c r="AO290" s="32" t="n">
        <f aca="false"> AN290 + (1.9146 - 0.004817*L290 - 0.000014*L290^2)*SIN(Q290)+ (0.019993 - 0.000101*L290)*SIN(2*Q290)+ 0.00029*SIN(3*Q290)</f>
        <v>202.617682057969</v>
      </c>
      <c r="AP290" s="32" t="n">
        <f aca="false">ACOS(COS(W290-$A$10*AO290)*COS(Y290))/$A$10</f>
        <v>108.719848915935</v>
      </c>
      <c r="AQ290" s="34" t="n">
        <f aca="false">180 - AP290 -0.1468*(1-0.0549*SIN(Q290))*SIN($A$10*AP290)/(1-0.0167*SIN($A$10*AO290))</f>
        <v>71.1345636261914</v>
      </c>
      <c r="AR290" s="64" t="n">
        <f aca="false">SIN($A$10*AI290)</f>
        <v>-0.81744942460038</v>
      </c>
      <c r="AS290" s="64" t="n">
        <f aca="false">COS($A$10*AI290)*SIN($A$10*$B$5) - TAN($A$10*AG290)*COS($A$10*$B$5)</f>
        <v>0.107614800290594</v>
      </c>
      <c r="AT290" s="24" t="n">
        <f aca="false">IF(OR(AND(AR290*AS290&gt;0), AND(AR290&lt;0,AS290&gt;0)), MOD(ATAN2(AS290,AR290)/$A$10+360,360),  ATAN2(AS290,AR290)/$A$10)</f>
        <v>277.499692850436</v>
      </c>
      <c r="AU290" s="39" t="n">
        <f aca="false"> 385000.56 + (-20905355*COS(P290) - 3699111*COS(2*R290-P290) - 2955968*COS(2*R290) - 569925*COS(2*P290) + (1-0.002516*L290)*48888*COS(Q290) - 3149*COS(2*S290)  +246158*COS(2*R290-2*P290) -(1 - 0.002516*L290)*152138*COS(2*R290-Q290-P290) -170733*COS(2*R290+P290) -(1 - 0.002516*L290)*204586*COS(2*R290-Q290) -(1 - 0.002516*L290)*129620*COS(Q290-P290)  + 108743*COS(R290) +(1-0.002516*L290)*104755*COS(Q290+P290) +10321*COS(2*R290-2*S290) +79661*COS(P290-2*S290) -34782*COS(4*R290-P290) -23210*COS(3*P290)  -21636*COS(4*R290-2*P290) +(1 - 0.002516*L290)*24208*COS(2*R290+Q290-P290) +(1 - 0.002516*L290)*30824*COS(2*R290+Q290) -8379*COS(R290-P290) -(1 - 0.002516*L290)*16675*COS(R290+Q290)  -(1 - 0.002516*L290)*12831*COS(2*R290-Q290+P290) -10445*COS(2*R290+2*P290) -11650*COS(4*R290) +14403*COS(2*R290-3*P290) -(1-0.002516*L290)*7003*COS(Q290-2*P290)  + (1 - 0.002516*L290)*10056*COS(2*R290-Q290-2*P290) +6322*COS(R290+P290) -(1 - 0.002516*L290)*(1-0.002516*L290)*9884*COS(2*R290-2*Q290) +(1-0.002516*L290)*5751*COS(Q290+2*P290) - (1-0.002516*L290)^2*4950*COS(2*R290-2*Q290-P290)  +4130*COS(2*R290+P290-2*S290) -(1-0.002516*L290)*3958*COS(4*R290-Q290-P290) +3258*COS(3*R290-P290) +(1 - 0.002516*L290)*2616*COS(2*R290+Q290+P290) -(1 - 0.002516*L290)*1897*COS(4*R290-Q290-2*P290)  -(1-0.002516*L290)^2*2117*COS(2*Q290-P290) +(1-0.002516*L290)^2*2354*COS(2*R290+2*Q290-P290) -1423*COS(4*R290+P290) -1117*COS(4*P290) -(1-0.002516*L290)*1571*COS(4*R290-Q290)  -1739*COS(R290-2*P290) -4421*COS(2*P290-2*S290) +(1-0.002516*L290)^2*1165*COS(2*Q290+P290) +8752*COS(2*R290-P290-2*S290))/1000</f>
        <v>403005.458617671</v>
      </c>
      <c r="AV290" s="54" t="n">
        <f aca="false">ATAN(0.99664719*TAN($A$10*input!$E$2))</f>
        <v>0.871010436227447</v>
      </c>
      <c r="AW290" s="54" t="n">
        <f aca="false">COS(AV290)</f>
        <v>0.644053912545845</v>
      </c>
      <c r="AX290" s="54" t="n">
        <f aca="false">0.99664719*SIN(AV290)</f>
        <v>0.762415269897027</v>
      </c>
      <c r="AY290" s="54" t="n">
        <f aca="false">6378.14/AU290</f>
        <v>0.0158264357556777</v>
      </c>
      <c r="AZ290" s="55" t="n">
        <f aca="false">M290-15*AH290</f>
        <v>-54.8302804135906</v>
      </c>
      <c r="BA290" s="56" t="n">
        <f aca="false">COS($A$10*AG290)*SIN($A$10*AZ290)</f>
        <v>-0.725542243056164</v>
      </c>
      <c r="BB290" s="56" t="n">
        <f aca="false">COS($A$10*AG290)*COS($A$10*AZ290)-AW290*AY290</f>
        <v>0.501046633627214</v>
      </c>
      <c r="BC290" s="56" t="n">
        <f aca="false">SIN($A$10*AG290)-AX290*AY290</f>
        <v>0.448609720563294</v>
      </c>
      <c r="BD290" s="57" t="n">
        <f aca="false">SQRT(BA290^2+BB290^2+BC290^2)</f>
        <v>0.989297708939028</v>
      </c>
      <c r="BE290" s="58" t="n">
        <f aca="false">AU290*BD290</f>
        <v>398692.376900385</v>
      </c>
    </row>
    <row r="291" customFormat="false" ht="15" hidden="false" customHeight="false" outlineLevel="0" collapsed="false">
      <c r="D291" s="41" t="n">
        <f aca="false">K291-INT(275*E291/9)+IF($A$8="common year",2,1)*INT((E291+9)/12)+30</f>
        <v>17</v>
      </c>
      <c r="E291" s="41" t="n">
        <f aca="false">IF(K291&lt;32,1,INT(9*(IF($A$8="common year",2,1)+K291)/275+0.98))</f>
        <v>10</v>
      </c>
      <c r="F291" s="42" t="n">
        <f aca="false">AM291</f>
        <v>34.0702585691391</v>
      </c>
      <c r="G291" s="60" t="n">
        <f aca="false">F291+1.02/(TAN($A$10*(F291+10.3/(F291+5.11)))*60)</f>
        <v>34.0951486941955</v>
      </c>
      <c r="H291" s="43" t="n">
        <f aca="false">100*(1+COS($A$10*AQ291))/2</f>
        <v>56.9475937258477</v>
      </c>
      <c r="I291" s="43" t="n">
        <f aca="false">IF(AI291&gt;180,AT291-180,AT291+180)</f>
        <v>87.9717494842596</v>
      </c>
      <c r="J291" s="61" t="n">
        <f aca="false">$J$2+K290</f>
        <v>2459869.5</v>
      </c>
      <c r="K291" s="21" t="n">
        <v>290</v>
      </c>
      <c r="L291" s="62" t="n">
        <f aca="false">(J291-2451545)/36525</f>
        <v>0.227912388774812</v>
      </c>
      <c r="M291" s="63" t="n">
        <f aca="false">MOD(280.46061837+360.98564736629*(J291-2451545)+0.000387933*L291^2-L291^3/38710000+$B$7,360)</f>
        <v>40.4821392018348</v>
      </c>
      <c r="N291" s="30" t="n">
        <f aca="false">0.606433+1336.855225*L291 - INT(0.606433+1336.855225*L291)</f>
        <v>0.292300775838442</v>
      </c>
      <c r="O291" s="35" t="n">
        <f aca="false">22640*SIN(P291)-4586*SIN(P291-2*R291)+2370*SIN(2*R291)+769*SIN(2*P291)-668*SIN(Q291)-412*SIN(2*S291)-212*SIN(2*P291-2*R291)-206*SIN(P291+Q291-2*R291)+192*SIN(P291+2*R291)-165*SIN(Q291-2*R291)-125*SIN(R291)-110*SIN(P291+Q291)+148*SIN(P291-Q291)-55*SIN(2*S291-2*R291)</f>
        <v>1871.96847242358</v>
      </c>
      <c r="P291" s="32" t="n">
        <f aca="false">2*PI()*(0.374897+1325.55241*L291 - INT(0.374897+1325.55241*L291))</f>
        <v>3.04554291492407</v>
      </c>
      <c r="Q291" s="36" t="n">
        <f aca="false">2*PI()*(0.993133+99.997361*L291 - INT(0.993133+99.997361*L291))</f>
        <v>4.92457476633104</v>
      </c>
      <c r="R291" s="36" t="n">
        <f aca="false">2*PI()*(0.827361+1236.853086*L291 - INT(0.827361+1236.853086*L291))</f>
        <v>4.5333332395533</v>
      </c>
      <c r="S291" s="36" t="n">
        <f aca="false">2*PI()*(0.259086+1342.227825*L291 - INT(0.259086+1342.227825*L291))</f>
        <v>1.06459700514739</v>
      </c>
      <c r="T291" s="36" t="n">
        <f aca="false">S291+(O291+412*SIN(2*S291)+541*SIN(Q291))/206264.8062</f>
        <v>1.07280257773562</v>
      </c>
      <c r="U291" s="36" t="n">
        <f aca="false">S291-2*R291</f>
        <v>-8.00206947395921</v>
      </c>
      <c r="V291" s="34" t="n">
        <f aca="false">-526*SIN(U291)+44*SIN(P291+U291)-31*SIN(-P291+U291)-23*SIN(Q291+U291)+11*SIN(-Q291+U291)-25*SIN(-2*P291+S291)+21*SIN(-P291+S291)</f>
        <v>486.540388189882</v>
      </c>
      <c r="W291" s="36" t="n">
        <f aca="false">2*PI()*(N291+O291/1296000-INT(N291+O291/1296000))</f>
        <v>1.84565549928566</v>
      </c>
      <c r="X291" s="35" t="n">
        <f aca="false">W291*180/PI()</f>
        <v>105.748270544179</v>
      </c>
      <c r="Y291" s="36" t="n">
        <f aca="false">(18520*SIN(T291)+V291)/206264.8062</f>
        <v>0.0812409564472889</v>
      </c>
      <c r="Z291" s="36" t="n">
        <f aca="false">Y291*180/PI()</f>
        <v>4.65476392803579</v>
      </c>
      <c r="AA291" s="36" t="n">
        <f aca="false">COS(Y291)*COS(W291)</f>
        <v>-0.270516220601948</v>
      </c>
      <c r="AB291" s="36" t="n">
        <f aca="false">COS(Y291)*SIN(W291)</f>
        <v>0.959289001825765</v>
      </c>
      <c r="AC291" s="36" t="n">
        <f aca="false">SIN(Y291)</f>
        <v>0.0811516196225658</v>
      </c>
      <c r="AD291" s="36" t="n">
        <f aca="false">COS($A$10*(23.4393-46.815*L291/3600))*AB291-SIN($A$10*(23.4393-46.815*L291/3600))*AC291</f>
        <v>0.847873709256058</v>
      </c>
      <c r="AE291" s="36" t="n">
        <f aca="false">SIN($A$10*(23.4393-46.815*L291/3600))*AB291+COS($A$10*(23.4393-46.815*L291/3600))*AC291</f>
        <v>0.455994679293094</v>
      </c>
      <c r="AF291" s="36" t="n">
        <f aca="false">SQRT(1-AE291*AE291)</f>
        <v>0.889982501207967</v>
      </c>
      <c r="AG291" s="35" t="n">
        <f aca="false">ATAN(AE291/AF291)/$A$10</f>
        <v>27.128951924684</v>
      </c>
      <c r="AH291" s="36" t="n">
        <f aca="false">IF(24*ATAN(AD291/(AA291+AF291))/PI()&gt;0,24*ATAN(AD291/(AA291+AF291))/PI(),24*ATAN(AD291/(AA291+AF291))/PI()+24)</f>
        <v>7.17969417752068</v>
      </c>
      <c r="AI291" s="63" t="n">
        <f aca="false">IF(M291-15*AH291&gt;0,M291-15*AH291,360+M291-15*AH291)</f>
        <v>292.786726539025</v>
      </c>
      <c r="AJ291" s="32" t="n">
        <f aca="false">0.950724+0.051818*COS(P291)+0.009531*COS(2*R291-P291)+0.007843*COS(2*R291)+0.002824*COS(2*P291)+0.000857*COS(2*R291+P291)+0.000533*COS(2*R291-Q291)*(1-0.002495*(J291-2415020)/36525)+0.000401*COS(2*R291-Q291-P291)*(1-0.002495*(J291-2415020)/36525)+0.00032*COS(P291-Q291)*(1-0.002495*(J291-2415020)/36525)-0.000271*COS(R291)</f>
        <v>0.904394338060287</v>
      </c>
      <c r="AK291" s="36" t="n">
        <f aca="false">ASIN(COS($A$10*$B$5)*COS($A$10*AG291)*COS($A$10*AI291)+SIN($A$10*$B$5)*SIN($A$10*AG291))/$A$10</f>
        <v>34.8113307132311</v>
      </c>
      <c r="AL291" s="32" t="n">
        <f aca="false">ASIN((0.9983271+0.0016764*COS($A$10*2*$B$5))*COS($A$10*AK291)*SIN($A$10*AJ291))/$A$10</f>
        <v>0.741072144092041</v>
      </c>
      <c r="AM291" s="32" t="n">
        <f aca="false">AK291-AL291</f>
        <v>34.0702585691391</v>
      </c>
      <c r="AN291" s="35" t="n">
        <f aca="false"> MOD(280.4664567 + 360007.6982779*L291/10 + 0.03032028*L291^2/100 + L291^3/49931000,360)</f>
        <v>205.487921633607</v>
      </c>
      <c r="AO291" s="32" t="n">
        <f aca="false"> AN291 + (1.9146 - 0.004817*L291 - 0.000014*L291^2)*SIN(Q291)+ (0.019993 - 0.000101*L291)*SIN(2*Q291)+ 0.00029*SIN(3*Q291)</f>
        <v>203.609345044409</v>
      </c>
      <c r="AP291" s="32" t="n">
        <f aca="false">ACOS(COS(W291-$A$10*AO291)*COS(Y291))/$A$10</f>
        <v>97.834983748988</v>
      </c>
      <c r="AQ291" s="34" t="n">
        <f aca="false">180 - AP291 -0.1468*(1-0.0549*SIN(Q291))*SIN($A$10*AP291)/(1-0.0167*SIN($A$10*AO291))</f>
        <v>82.0127997085189</v>
      </c>
      <c r="AR291" s="64" t="n">
        <f aca="false">SIN($A$10*AI291)</f>
        <v>-0.921952900879726</v>
      </c>
      <c r="AS291" s="64" t="n">
        <f aca="false">COS($A$10*AI291)*SIN($A$10*$B$5) - TAN($A$10*AG291)*COS($A$10*$B$5)</f>
        <v>-0.0326504492124425</v>
      </c>
      <c r="AT291" s="24" t="n">
        <f aca="false">IF(OR(AND(AR291*AS291&gt;0), AND(AR291&lt;0,AS291&gt;0)), MOD(ATAN2(AS291,AR291)/$A$10+360,360),  ATAN2(AS291,AR291)/$A$10)</f>
        <v>267.97174948426</v>
      </c>
      <c r="AU291" s="39" t="n">
        <f aca="false"> 385000.56 + (-20905355*COS(P291) - 3699111*COS(2*R291-P291) - 2955968*COS(2*R291) - 569925*COS(2*P291) + (1-0.002516*L291)*48888*COS(Q291) - 3149*COS(2*S291)  +246158*COS(2*R291-2*P291) -(1 - 0.002516*L291)*152138*COS(2*R291-Q291-P291) -170733*COS(2*R291+P291) -(1 - 0.002516*L291)*204586*COS(2*R291-Q291) -(1 - 0.002516*L291)*129620*COS(Q291-P291)  + 108743*COS(R291) +(1-0.002516*L291)*104755*COS(Q291+P291) +10321*COS(2*R291-2*S291) +79661*COS(P291-2*S291) -34782*COS(4*R291-P291) -23210*COS(3*P291)  -21636*COS(4*R291-2*P291) +(1 - 0.002516*L291)*24208*COS(2*R291+Q291-P291) +(1 - 0.002516*L291)*30824*COS(2*R291+Q291) -8379*COS(R291-P291) -(1 - 0.002516*L291)*16675*COS(R291+Q291)  -(1 - 0.002516*L291)*12831*COS(2*R291-Q291+P291) -10445*COS(2*R291+2*P291) -11650*COS(4*R291) +14403*COS(2*R291-3*P291) -(1-0.002516*L291)*7003*COS(Q291-2*P291)  + (1 - 0.002516*L291)*10056*COS(2*R291-Q291-2*P291) +6322*COS(R291+P291) -(1 - 0.002516*L291)*(1-0.002516*L291)*9884*COS(2*R291-2*Q291) +(1-0.002516*L291)*5751*COS(Q291+2*P291) - (1-0.002516*L291)^2*4950*COS(2*R291-2*Q291-P291)  +4130*COS(2*R291+P291-2*S291) -(1-0.002516*L291)*3958*COS(4*R291-Q291-P291) +3258*COS(3*R291-P291) +(1 - 0.002516*L291)*2616*COS(2*R291+Q291+P291) -(1 - 0.002516*L291)*1897*COS(4*R291-Q291-2*P291)  -(1-0.002516*L291)^2*2117*COS(2*Q291-P291) +(1-0.002516*L291)^2*2354*COS(2*R291+2*Q291-P291) -1423*COS(4*R291+P291) -1117*COS(4*P291) -(1-0.002516*L291)*1571*COS(4*R291-Q291)  -1739*COS(R291-2*P291) -4421*COS(2*P291-2*S291) +(1-0.002516*L291)^2*1165*COS(2*Q291+P291) +8752*COS(2*R291-P291-2*S291))/1000</f>
        <v>404205.102359907</v>
      </c>
      <c r="AV291" s="54" t="n">
        <f aca="false">ATAN(0.99664719*TAN($A$10*input!$E$2))</f>
        <v>0.871010436227447</v>
      </c>
      <c r="AW291" s="54" t="n">
        <f aca="false">COS(AV291)</f>
        <v>0.644053912545845</v>
      </c>
      <c r="AX291" s="54" t="n">
        <f aca="false">0.99664719*SIN(AV291)</f>
        <v>0.762415269897027</v>
      </c>
      <c r="AY291" s="54" t="n">
        <f aca="false">6378.14/AU291</f>
        <v>0.0157794643431316</v>
      </c>
      <c r="AZ291" s="55" t="n">
        <f aca="false">M291-15*AH291</f>
        <v>-67.2132734609754</v>
      </c>
      <c r="BA291" s="56" t="n">
        <f aca="false">COS($A$10*AG291)*SIN($A$10*AZ291)</f>
        <v>-0.82052194872088</v>
      </c>
      <c r="BB291" s="56" t="n">
        <f aca="false">COS($A$10*AG291)*COS($A$10*AZ291)-AW291*AY291</f>
        <v>0.334529187683743</v>
      </c>
      <c r="BC291" s="56" t="n">
        <f aca="false">SIN($A$10*AG291)-AX291*AY291</f>
        <v>0.443964174727095</v>
      </c>
      <c r="BD291" s="57" t="n">
        <f aca="false">SQRT(BA291^2+BB291^2+BC291^2)</f>
        <v>0.991095471781687</v>
      </c>
      <c r="BE291" s="58" t="n">
        <f aca="false">AU291*BD291</f>
        <v>400605.846619958</v>
      </c>
    </row>
    <row r="292" customFormat="false" ht="15" hidden="false" customHeight="false" outlineLevel="0" collapsed="false">
      <c r="D292" s="41" t="n">
        <f aca="false">K292-INT(275*E292/9)+IF($A$8="common year",2,1)*INT((E292+9)/12)+30</f>
        <v>18</v>
      </c>
      <c r="E292" s="41" t="n">
        <f aca="false">IF(K292&lt;32,1,INT(9*(IF($A$8="common year",2,1)+K292)/275+0.98))</f>
        <v>10</v>
      </c>
      <c r="F292" s="42" t="n">
        <f aca="false">AM292</f>
        <v>25.1667397420585</v>
      </c>
      <c r="G292" s="60" t="n">
        <f aca="false">F292+1.02/(TAN($A$10*(F292+10.3/(F292+5.11)))*60)</f>
        <v>25.2023698841608</v>
      </c>
      <c r="H292" s="43" t="n">
        <f aca="false">100*(1+COS($A$10*AQ292))/2</f>
        <v>47.4999723638655</v>
      </c>
      <c r="I292" s="43" t="n">
        <f aca="false">IF(AI292&gt;180,AT292-180,AT292+180)</f>
        <v>80.4043282516086</v>
      </c>
      <c r="J292" s="61" t="n">
        <f aca="false">$J$2+K291</f>
        <v>2459870.5</v>
      </c>
      <c r="K292" s="21" t="n">
        <v>291</v>
      </c>
      <c r="L292" s="62" t="n">
        <f aca="false">(J292-2451545)/36525</f>
        <v>0.227939767282683</v>
      </c>
      <c r="M292" s="63" t="n">
        <f aca="false">MOD(280.46061837+360.98564736629*(J292-2451545)+0.000387933*L292^2-L292^3/38710000+$B$7,360)</f>
        <v>41.4677865728736</v>
      </c>
      <c r="N292" s="30" t="n">
        <f aca="false">0.606433+1336.855225*L292 - INT(0.606433+1336.855225*L292)</f>
        <v>0.328901877138947</v>
      </c>
      <c r="O292" s="35" t="n">
        <f aca="false">22640*SIN(P292)-4586*SIN(P292-2*R292)+2370*SIN(2*R292)+769*SIN(2*P292)-668*SIN(Q292)-412*SIN(2*S292)-212*SIN(2*P292-2*R292)-206*SIN(P292+Q292-2*R292)+192*SIN(P292+2*R292)-165*SIN(Q292-2*R292)-125*SIN(R292)-110*SIN(P292+Q292)+148*SIN(P292-Q292)-55*SIN(2*S292-2*R292)</f>
        <v>-2778.87702197357</v>
      </c>
      <c r="P292" s="32" t="n">
        <f aca="false">2*PI()*(0.374897+1325.55241*L292 - INT(0.374897+1325.55241*L292))</f>
        <v>3.27357005869989</v>
      </c>
      <c r="Q292" s="36" t="n">
        <f aca="false">2*PI()*(0.993133+99.997361*L292 - INT(0.993133+99.997361*L292))</f>
        <v>4.94177673619803</v>
      </c>
      <c r="R292" s="36" t="n">
        <f aca="false">2*PI()*(0.827361+1236.853086*L292 - INT(0.827361+1236.853086*L292))</f>
        <v>4.74610194967232</v>
      </c>
      <c r="S292" s="36" t="n">
        <f aca="false">2*PI()*(0.259086+1342.227825*L292 - INT(0.259086+1342.227825*L292))</f>
        <v>1.29549272448839</v>
      </c>
      <c r="T292" s="36" t="n">
        <f aca="false">S292+(O292+412*SIN(2*S292)+541*SIN(Q292))/206264.8062</f>
        <v>1.28051127594026</v>
      </c>
      <c r="U292" s="36" t="n">
        <f aca="false">S292-2*R292</f>
        <v>-8.19671117485626</v>
      </c>
      <c r="V292" s="34" t="n">
        <f aca="false">-526*SIN(U292)+44*SIN(P292+U292)-31*SIN(-P292+U292)-23*SIN(Q292+U292)+11*SIN(-Q292+U292)-25*SIN(-2*P292+S292)+21*SIN(-P292+S292)</f>
        <v>461.571228718984</v>
      </c>
      <c r="W292" s="36" t="n">
        <f aca="false">2*PI()*(N292+O292/1296000-INT(N292+O292/1296000))</f>
        <v>2.05307906595948</v>
      </c>
      <c r="X292" s="35" t="n">
        <f aca="false">W292*180/PI()</f>
        <v>117.632765486139</v>
      </c>
      <c r="Y292" s="36" t="n">
        <f aca="false">(18520*SIN(T292)+V292)/206264.8062</f>
        <v>0.0882687543033123</v>
      </c>
      <c r="Z292" s="36" t="n">
        <f aca="false">Y292*180/PI()</f>
        <v>5.05742708445702</v>
      </c>
      <c r="AA292" s="36" t="n">
        <f aca="false">COS(Y292)*COS(W292)</f>
        <v>-0.461997091422838</v>
      </c>
      <c r="AB292" s="36" t="n">
        <f aca="false">COS(Y292)*SIN(W292)</f>
        <v>0.882489392959097</v>
      </c>
      <c r="AC292" s="36" t="n">
        <f aca="false">SIN(Y292)</f>
        <v>0.0881541764837135</v>
      </c>
      <c r="AD292" s="36" t="n">
        <f aca="false">COS($A$10*(23.4393-46.815*L292/3600))*AB292-SIN($A$10*(23.4393-46.815*L292/3600))*AC292</f>
        <v>0.774624747204606</v>
      </c>
      <c r="AE292" s="36" t="n">
        <f aca="false">SIN($A$10*(23.4393-46.815*L292/3600))*AB292+COS($A$10*(23.4393-46.815*L292/3600))*AC292</f>
        <v>0.431874042441819</v>
      </c>
      <c r="AF292" s="36" t="n">
        <f aca="false">SQRT(1-AE292*AE292)</f>
        <v>0.901933928547409</v>
      </c>
      <c r="AG292" s="35" t="n">
        <f aca="false">ATAN(AE292/AF292)/$A$10</f>
        <v>25.586550497328</v>
      </c>
      <c r="AH292" s="36" t="n">
        <f aca="false">IF(24*ATAN(AD292/(AA292+AF292))/PI()&gt;0,24*ATAN(AD292/(AA292+AF292))/PI(),24*ATAN(AD292/(AA292+AF292))/PI()+24)</f>
        <v>8.05416297293768</v>
      </c>
      <c r="AI292" s="63" t="n">
        <f aca="false">IF(M292-15*AH292&gt;0,M292-15*AH292,360+M292-15*AH292)</f>
        <v>280.655341978808</v>
      </c>
      <c r="AJ292" s="32" t="n">
        <f aca="false">0.950724+0.051818*COS(P292)+0.009531*COS(2*R292-P292)+0.007843*COS(2*R292)+0.002824*COS(2*P292)+0.000857*COS(2*R292+P292)+0.000533*COS(2*R292-Q292)*(1-0.002495*(J292-2415020)/36525)+0.000401*COS(2*R292-Q292-P292)*(1-0.002495*(J292-2415020)/36525)+0.00032*COS(P292-Q292)*(1-0.002495*(J292-2415020)/36525)-0.000271*COS(R292)</f>
        <v>0.904598788561695</v>
      </c>
      <c r="AK292" s="36" t="n">
        <f aca="false">ASIN(COS($A$10*$B$5)*COS($A$10*AG292)*COS($A$10*AI292)+SIN($A$10*$B$5)*SIN($A$10*AG292))/$A$10</f>
        <v>25.978333941731</v>
      </c>
      <c r="AL292" s="32" t="n">
        <f aca="false">ASIN((0.9983271+0.0016764*COS($A$10*2*$B$5))*COS($A$10*AK292)*SIN($A$10*AJ292))/$A$10</f>
        <v>0.811594199672485</v>
      </c>
      <c r="AM292" s="32" t="n">
        <f aca="false">AK292-AL292</f>
        <v>25.1667397420585</v>
      </c>
      <c r="AN292" s="35" t="n">
        <f aca="false"> MOD(280.4664567 + 360007.6982779*L292/10 + 0.03032028*L292^2/100 + L292^3/49931000,360)</f>
        <v>206.473568997493</v>
      </c>
      <c r="AO292" s="32" t="n">
        <f aca="false"> AN292 + (1.9146 - 0.004817*L292 - 0.000014*L292^2)*SIN(Q292)+ (0.019993 - 0.000101*L292)*SIN(2*Q292)+ 0.00029*SIN(3*Q292)</f>
        <v>204.601570648344</v>
      </c>
      <c r="AP292" s="32" t="n">
        <f aca="false">ACOS(COS(W292-$A$10*AO292)*COS(Y292))/$A$10</f>
        <v>86.9806170395823</v>
      </c>
      <c r="AQ292" s="34" t="n">
        <f aca="false">180 - AP292 -0.1468*(1-0.0549*SIN(Q292))*SIN($A$10*AP292)/(1-0.0167*SIN($A$10*AO292))</f>
        <v>92.8660156909369</v>
      </c>
      <c r="AR292" s="64" t="n">
        <f aca="false">SIN($A$10*AI292)</f>
        <v>-0.98275721209379</v>
      </c>
      <c r="AS292" s="64" t="n">
        <f aca="false">COS($A$10*AI292)*SIN($A$10*$B$5) - TAN($A$10*AG292)*COS($A$10*$B$5)</f>
        <v>-0.166144577961338</v>
      </c>
      <c r="AT292" s="24" t="n">
        <f aca="false">IF(OR(AND(AR292*AS292&gt;0), AND(AR292&lt;0,AS292&gt;0)), MOD(ATAN2(AS292,AR292)/$A$10+360,360),  ATAN2(AS292,AR292)/$A$10)</f>
        <v>260.404328251609</v>
      </c>
      <c r="AU292" s="39" t="n">
        <f aca="false"> 385000.56 + (-20905355*COS(P292) - 3699111*COS(2*R292-P292) - 2955968*COS(2*R292) - 569925*COS(2*P292) + (1-0.002516*L292)*48888*COS(Q292) - 3149*COS(2*S292)  +246158*COS(2*R292-2*P292) -(1 - 0.002516*L292)*152138*COS(2*R292-Q292-P292) -170733*COS(2*R292+P292) -(1 - 0.002516*L292)*204586*COS(2*R292-Q292) -(1 - 0.002516*L292)*129620*COS(Q292-P292)  + 108743*COS(R292) +(1-0.002516*L292)*104755*COS(Q292+P292) +10321*COS(2*R292-2*S292) +79661*COS(P292-2*S292) -34782*COS(4*R292-P292) -23210*COS(3*P292)  -21636*COS(4*R292-2*P292) +(1 - 0.002516*L292)*24208*COS(2*R292+Q292-P292) +(1 - 0.002516*L292)*30824*COS(2*R292+Q292) -8379*COS(R292-P292) -(1 - 0.002516*L292)*16675*COS(R292+Q292)  -(1 - 0.002516*L292)*12831*COS(2*R292-Q292+P292) -10445*COS(2*R292+2*P292) -11650*COS(4*R292) +14403*COS(2*R292-3*P292) -(1-0.002516*L292)*7003*COS(Q292-2*P292)  + (1 - 0.002516*L292)*10056*COS(2*R292-Q292-2*P292) +6322*COS(R292+P292) -(1 - 0.002516*L292)*(1-0.002516*L292)*9884*COS(2*R292-2*Q292) +(1-0.002516*L292)*5751*COS(Q292+2*P292) - (1-0.002516*L292)^2*4950*COS(2*R292-2*Q292-P292)  +4130*COS(2*R292+P292-2*S292) -(1-0.002516*L292)*3958*COS(4*R292-Q292-P292) +3258*COS(3*R292-P292) +(1 - 0.002516*L292)*2616*COS(2*R292+Q292+P292) -(1 - 0.002516*L292)*1897*COS(4*R292-Q292-2*P292)  -(1-0.002516*L292)^2*2117*COS(2*Q292-P292) +(1-0.002516*L292)^2*2354*COS(2*R292+2*Q292-P292) -1423*COS(4*R292+P292) -1117*COS(4*P292) -(1-0.002516*L292)*1571*COS(4*R292-Q292)  -1739*COS(R292-2*P292) -4421*COS(2*P292-2*S292) +(1-0.002516*L292)^2*1165*COS(2*Q292+P292) +8752*COS(2*R292-P292-2*S292))/1000</f>
        <v>404115.59750547</v>
      </c>
      <c r="AV292" s="54" t="n">
        <f aca="false">ATAN(0.99664719*TAN($A$10*input!$E$2))</f>
        <v>0.871010436227447</v>
      </c>
      <c r="AW292" s="54" t="n">
        <f aca="false">COS(AV292)</f>
        <v>0.644053912545845</v>
      </c>
      <c r="AX292" s="54" t="n">
        <f aca="false">0.99664719*SIN(AV292)</f>
        <v>0.762415269897027</v>
      </c>
      <c r="AY292" s="54" t="n">
        <f aca="false">6378.14/AU292</f>
        <v>0.0157829592309009</v>
      </c>
      <c r="AZ292" s="55" t="n">
        <f aca="false">M292-15*AH292</f>
        <v>-79.3446580211916</v>
      </c>
      <c r="BA292" s="56" t="n">
        <f aca="false">COS($A$10*AG292)*SIN($A$10*AZ292)</f>
        <v>-0.886382073112051</v>
      </c>
      <c r="BB292" s="56" t="n">
        <f aca="false">COS($A$10*AG292)*COS($A$10*AZ292)-AW292*AY292</f>
        <v>0.1566031215548</v>
      </c>
      <c r="BC292" s="56" t="n">
        <f aca="false">SIN($A$10*AG292)-AX292*AY292</f>
        <v>0.419840873320018</v>
      </c>
      <c r="BD292" s="57" t="n">
        <f aca="false">SQRT(BA292^2+BB292^2+BC292^2)</f>
        <v>0.993208979080052</v>
      </c>
      <c r="BE292" s="58" t="n">
        <f aca="false">AU292*BD292</f>
        <v>401371.240028733</v>
      </c>
    </row>
    <row r="293" customFormat="false" ht="15" hidden="false" customHeight="false" outlineLevel="0" collapsed="false">
      <c r="D293" s="41" t="n">
        <f aca="false">K293-INT(275*E293/9)+IF($A$8="common year",2,1)*INT((E293+9)/12)+30</f>
        <v>19</v>
      </c>
      <c r="E293" s="41" t="n">
        <f aca="false">IF(K293&lt;32,1,INT(9*(IF($A$8="common year",2,1)+K293)/275+0.98))</f>
        <v>10</v>
      </c>
      <c r="F293" s="42" t="n">
        <f aca="false">AM293</f>
        <v>15.8106469030264</v>
      </c>
      <c r="G293" s="60" t="n">
        <f aca="false">F293+1.02/(TAN($A$10*(F293+10.3/(F293+5.11)))*60)</f>
        <v>15.8687711337017</v>
      </c>
      <c r="H293" s="43" t="n">
        <f aca="false">100*(1+COS($A$10*AQ293))/2</f>
        <v>38.0966574217861</v>
      </c>
      <c r="I293" s="43" t="n">
        <f aca="false">IF(AI293&gt;180,AT293-180,AT293+180)</f>
        <v>74.0407922791556</v>
      </c>
      <c r="J293" s="61" t="n">
        <f aca="false">$J$2+K292</f>
        <v>2459871.5</v>
      </c>
      <c r="K293" s="21" t="n">
        <v>292</v>
      </c>
      <c r="L293" s="62" t="n">
        <f aca="false">(J293-2451545)/36525</f>
        <v>0.227967145790554</v>
      </c>
      <c r="M293" s="63" t="n">
        <f aca="false">MOD(280.46061837+360.98564736629*(J293-2451545)+0.000387933*L293^2-L293^3/38710000+$B$7,360)</f>
        <v>42.4534339434467</v>
      </c>
      <c r="N293" s="30" t="n">
        <f aca="false">0.606433+1336.855225*L293 - INT(0.606433+1336.855225*L293)</f>
        <v>0.365502978439395</v>
      </c>
      <c r="O293" s="35" t="n">
        <f aca="false">22640*SIN(P293)-4586*SIN(P293-2*R293)+2370*SIN(2*R293)+769*SIN(2*P293)-668*SIN(Q293)-412*SIN(2*S293)-212*SIN(2*P293-2*R293)-206*SIN(P293+Q293-2*R293)+192*SIN(P293+2*R293)-165*SIN(Q293-2*R293)-125*SIN(R293)-110*SIN(P293+Q293)+148*SIN(P293-Q293)-55*SIN(2*S293-2*R293)</f>
        <v>-7219.86752337173</v>
      </c>
      <c r="P293" s="32" t="n">
        <f aca="false">2*PI()*(0.374897+1325.55241*L293 - INT(0.374897+1325.55241*L293))</f>
        <v>3.50159720247535</v>
      </c>
      <c r="Q293" s="36" t="n">
        <f aca="false">2*PI()*(0.993133+99.997361*L293 - INT(0.993133+99.997361*L293))</f>
        <v>4.95897870606501</v>
      </c>
      <c r="R293" s="36" t="n">
        <f aca="false">2*PI()*(0.827361+1236.853086*L293 - INT(0.827361+1236.853086*L293))</f>
        <v>4.95887065979135</v>
      </c>
      <c r="S293" s="36" t="n">
        <f aca="false">2*PI()*(0.259086+1342.227825*L293 - INT(0.259086+1342.227825*L293))</f>
        <v>1.52638844382904</v>
      </c>
      <c r="T293" s="36" t="n">
        <f aca="false">S293+(O293+412*SIN(2*S293)+541*SIN(Q293))/206264.8062</f>
        <v>1.48901920629461</v>
      </c>
      <c r="U293" s="36" t="n">
        <f aca="false">S293-2*R293</f>
        <v>-8.39135287575366</v>
      </c>
      <c r="V293" s="34" t="n">
        <f aca="false">-526*SIN(U293)+44*SIN(P293+U293)-31*SIN(-P293+U293)-23*SIN(Q293+U293)+11*SIN(-Q293+U293)-25*SIN(-2*P293+S293)+21*SIN(-P293+S293)</f>
        <v>424.128495496677</v>
      </c>
      <c r="W293" s="36" t="n">
        <f aca="false">2*PI()*(N293+O293/1296000-INT(N293+O293/1296000))</f>
        <v>2.26152003834949</v>
      </c>
      <c r="X293" s="35" t="n">
        <f aca="false">W293*180/PI()</f>
        <v>129.57555348169</v>
      </c>
      <c r="Y293" s="36" t="n">
        <f aca="false">(18520*SIN(T293)+V293)/206264.8062</f>
        <v>0.091543667193437</v>
      </c>
      <c r="Z293" s="36" t="n">
        <f aca="false">Y293*180/PI()</f>
        <v>5.24506577133416</v>
      </c>
      <c r="AA293" s="36" t="n">
        <f aca="false">COS(Y293)*COS(W293)</f>
        <v>-0.634427532676531</v>
      </c>
      <c r="AB293" s="36" t="n">
        <f aca="false">COS(Y293)*SIN(W293)</f>
        <v>0.76755771517741</v>
      </c>
      <c r="AC293" s="36" t="n">
        <f aca="false">SIN(Y293)</f>
        <v>0.0914158610614335</v>
      </c>
      <c r="AD293" s="36" t="n">
        <f aca="false">COS($A$10*(23.4393-46.815*L293/3600))*AB293-SIN($A$10*(23.4393-46.815*L293/3600))*AC293</f>
        <v>0.667877369712501</v>
      </c>
      <c r="AE293" s="36" t="n">
        <f aca="false">SIN($A$10*(23.4393-46.815*L293/3600))*AB293+COS($A$10*(23.4393-46.815*L293/3600))*AC293</f>
        <v>0.389154885370697</v>
      </c>
      <c r="AF293" s="36" t="n">
        <f aca="false">SQRT(1-AE293*AE293)</f>
        <v>0.921172337400619</v>
      </c>
      <c r="AG293" s="35" t="n">
        <f aca="false">ATAN(AE293/AF293)/$A$10</f>
        <v>22.9019241194084</v>
      </c>
      <c r="AH293" s="36" t="n">
        <f aca="false">IF(24*ATAN(AD293/(AA293+AF293))/PI()&gt;0,24*ATAN(AD293/(AA293+AF293))/PI(),24*ATAN(AD293/(AA293+AF293))/PI()+24)</f>
        <v>8.90191169573455</v>
      </c>
      <c r="AI293" s="63" t="n">
        <f aca="false">IF(M293-15*AH293&gt;0,M293-15*AH293,360+M293-15*AH293)</f>
        <v>268.924758507429</v>
      </c>
      <c r="AJ293" s="32" t="n">
        <f aca="false">0.950724+0.051818*COS(P293)+0.009531*COS(2*R293-P293)+0.007843*COS(2*R293)+0.002824*COS(2*P293)+0.000857*COS(2*R293+P293)+0.000533*COS(2*R293-Q293)*(1-0.002495*(J293-2415020)/36525)+0.000401*COS(2*R293-Q293-P293)*(1-0.002495*(J293-2415020)/36525)+0.00032*COS(P293-Q293)*(1-0.002495*(J293-2415020)/36525)-0.000271*COS(R293)</f>
        <v>0.907597172140477</v>
      </c>
      <c r="AK293" s="36" t="n">
        <f aca="false">ASIN(COS($A$10*$B$5)*COS($A$10*AG293)*COS($A$10*AI293)+SIN($A$10*$B$5)*SIN($A$10*AG293))/$A$10</f>
        <v>16.6783517154241</v>
      </c>
      <c r="AL293" s="32" t="n">
        <f aca="false">ASIN((0.9983271+0.0016764*COS($A$10*2*$B$5))*COS($A$10*AK293)*SIN($A$10*AJ293))/$A$10</f>
        <v>0.867704812397689</v>
      </c>
      <c r="AM293" s="32" t="n">
        <f aca="false">AK293-AL293</f>
        <v>15.8106469030264</v>
      </c>
      <c r="AN293" s="35" t="n">
        <f aca="false"> MOD(280.4664567 + 360007.6982779*L293/10 + 0.03032028*L293^2/100 + L293^3/49931000,360)</f>
        <v>207.459216361383</v>
      </c>
      <c r="AO293" s="32" t="n">
        <f aca="false"> AN293 + (1.9146 - 0.004817*L293 - 0.000014*L293^2)*SIN(Q293)+ (0.019993 - 0.000101*L293)*SIN(2*Q293)+ 0.00029*SIN(3*Q293)</f>
        <v>205.594357496282</v>
      </c>
      <c r="AP293" s="32" t="n">
        <f aca="false">ACOS(COS(W293-$A$10*AO293)*COS(Y293))/$A$10</f>
        <v>76.0785285999441</v>
      </c>
      <c r="AQ293" s="34" t="n">
        <f aca="false">180 - AP293 -0.1468*(1-0.0549*SIN(Q293))*SIN($A$10*AP293)/(1-0.0167*SIN($A$10*AO293))</f>
        <v>103.772472417533</v>
      </c>
      <c r="AR293" s="64" t="n">
        <f aca="false">SIN($A$10*AI293)</f>
        <v>-0.999823914326127</v>
      </c>
      <c r="AS293" s="64" t="n">
        <f aca="false">COS($A$10*AI293)*SIN($A$10*$B$5) - TAN($A$10*AG293)*COS($A$10*$B$5)</f>
        <v>-0.285924687812848</v>
      </c>
      <c r="AT293" s="24" t="n">
        <f aca="false">IF(OR(AND(AR293*AS293&gt;0), AND(AR293&lt;0,AS293&gt;0)), MOD(ATAN2(AS293,AR293)/$A$10+360,360),  ATAN2(AS293,AR293)/$A$10)</f>
        <v>254.040792279156</v>
      </c>
      <c r="AU293" s="39" t="n">
        <f aca="false"> 385000.56 + (-20905355*COS(P293) - 3699111*COS(2*R293-P293) - 2955968*COS(2*R293) - 569925*COS(2*P293) + (1-0.002516*L293)*48888*COS(Q293) - 3149*COS(2*S293)  +246158*COS(2*R293-2*P293) -(1 - 0.002516*L293)*152138*COS(2*R293-Q293-P293) -170733*COS(2*R293+P293) -(1 - 0.002516*L293)*204586*COS(2*R293-Q293) -(1 - 0.002516*L293)*129620*COS(Q293-P293)  + 108743*COS(R293) +(1-0.002516*L293)*104755*COS(Q293+P293) +10321*COS(2*R293-2*S293) +79661*COS(P293-2*S293) -34782*COS(4*R293-P293) -23210*COS(3*P293)  -21636*COS(4*R293-2*P293) +(1 - 0.002516*L293)*24208*COS(2*R293+Q293-P293) +(1 - 0.002516*L293)*30824*COS(2*R293+Q293) -8379*COS(R293-P293) -(1 - 0.002516*L293)*16675*COS(R293+Q293)  -(1 - 0.002516*L293)*12831*COS(2*R293-Q293+P293) -10445*COS(2*R293+2*P293) -11650*COS(4*R293) +14403*COS(2*R293-3*P293) -(1-0.002516*L293)*7003*COS(Q293-2*P293)  + (1 - 0.002516*L293)*10056*COS(2*R293-Q293-2*P293) +6322*COS(R293+P293) -(1 - 0.002516*L293)*(1-0.002516*L293)*9884*COS(2*R293-2*Q293) +(1-0.002516*L293)*5751*COS(Q293+2*P293) - (1-0.002516*L293)^2*4950*COS(2*R293-2*Q293-P293)  +4130*COS(2*R293+P293-2*S293) -(1-0.002516*L293)*3958*COS(4*R293-Q293-P293) +3258*COS(3*R293-P293) +(1 - 0.002516*L293)*2616*COS(2*R293+Q293+P293) -(1 - 0.002516*L293)*1897*COS(4*R293-Q293-2*P293)  -(1-0.002516*L293)^2*2117*COS(2*Q293-P293) +(1-0.002516*L293)^2*2354*COS(2*R293+2*Q293-P293) -1423*COS(4*R293+P293) -1117*COS(4*P293) -(1-0.002516*L293)*1571*COS(4*R293-Q293)  -1739*COS(R293-2*P293) -4421*COS(2*P293-2*S293) +(1-0.002516*L293)^2*1165*COS(2*Q293+P293) +8752*COS(2*R293-P293-2*S293))/1000</f>
        <v>402727.438927862</v>
      </c>
      <c r="AV293" s="54" t="n">
        <f aca="false">ATAN(0.99664719*TAN($A$10*input!$E$2))</f>
        <v>0.871010436227447</v>
      </c>
      <c r="AW293" s="54" t="n">
        <f aca="false">COS(AV293)</f>
        <v>0.644053912545845</v>
      </c>
      <c r="AX293" s="54" t="n">
        <f aca="false">0.99664719*SIN(AV293)</f>
        <v>0.762415269897027</v>
      </c>
      <c r="AY293" s="54" t="n">
        <f aca="false">6378.14/AU293</f>
        <v>0.0158373614099398</v>
      </c>
      <c r="AZ293" s="55" t="n">
        <f aca="false">M293-15*AH293</f>
        <v>-91.0752414925715</v>
      </c>
      <c r="BA293" s="56" t="n">
        <f aca="false">COS($A$10*AG293)*SIN($A$10*AZ293)</f>
        <v>-0.921010132148834</v>
      </c>
      <c r="BB293" s="56" t="n">
        <f aca="false">COS($A$10*AG293)*COS($A$10*AZ293)-AW293*AY293</f>
        <v>-0.0274862845237224</v>
      </c>
      <c r="BC293" s="56" t="n">
        <f aca="false">SIN($A$10*AG293)-AX293*AY293</f>
        <v>0.377080239196881</v>
      </c>
      <c r="BD293" s="57" t="n">
        <f aca="false">SQRT(BA293^2+BB293^2+BC293^2)</f>
        <v>0.995592620578572</v>
      </c>
      <c r="BE293" s="58" t="n">
        <f aca="false">AU293*BD293</f>
        <v>400952.466301087</v>
      </c>
    </row>
    <row r="294" customFormat="false" ht="15" hidden="false" customHeight="false" outlineLevel="0" collapsed="false">
      <c r="D294" s="41" t="n">
        <f aca="false">K294-INT(275*E294/9)+IF($A$8="common year",2,1)*INT((E294+9)/12)+30</f>
        <v>20</v>
      </c>
      <c r="E294" s="41" t="n">
        <f aca="false">IF(K294&lt;32,1,INT(9*(IF($A$8="common year",2,1)+K294)/275+0.98))</f>
        <v>10</v>
      </c>
      <c r="F294" s="42" t="n">
        <f aca="false">AM294</f>
        <v>6.1138929771759</v>
      </c>
      <c r="G294" s="60" t="n">
        <f aca="false">F294+1.02/(TAN($A$10*(F294+10.3/(F294+5.11)))*60)</f>
        <v>6.25171883872706</v>
      </c>
      <c r="H294" s="43" t="n">
        <f aca="false">100*(1+COS($A$10*AQ294))/2</f>
        <v>29.0204771302738</v>
      </c>
      <c r="I294" s="43" t="n">
        <f aca="false">IF(AI294&gt;180,AT294-180,AT294+180)</f>
        <v>68.3447475368085</v>
      </c>
      <c r="J294" s="61" t="n">
        <f aca="false">$J$2+K293</f>
        <v>2459872.5</v>
      </c>
      <c r="K294" s="21" t="n">
        <v>293</v>
      </c>
      <c r="L294" s="62" t="n">
        <f aca="false">(J294-2451545)/36525</f>
        <v>0.227994524298426</v>
      </c>
      <c r="M294" s="63" t="n">
        <f aca="false">MOD(280.46061837+360.98564736629*(J294-2451545)+0.000387933*L294^2-L294^3/38710000+$B$7,360)</f>
        <v>43.4390813149512</v>
      </c>
      <c r="N294" s="30" t="n">
        <f aca="false">0.606433+1336.855225*L294 - INT(0.606433+1336.855225*L294)</f>
        <v>0.4021040797399</v>
      </c>
      <c r="O294" s="35" t="n">
        <f aca="false">22640*SIN(P294)-4586*SIN(P294-2*R294)+2370*SIN(2*R294)+769*SIN(2*P294)-668*SIN(Q294)-412*SIN(2*S294)-212*SIN(2*P294-2*R294)-206*SIN(P294+Q294-2*R294)+192*SIN(P294+2*R294)-165*SIN(Q294-2*R294)-125*SIN(R294)-110*SIN(P294+Q294)+148*SIN(P294-Q294)-55*SIN(2*S294-2*R294)</f>
        <v>-11201.2856250873</v>
      </c>
      <c r="P294" s="32" t="n">
        <f aca="false">2*PI()*(0.374897+1325.55241*L294 - INT(0.374897+1325.55241*L294))</f>
        <v>3.72962434625117</v>
      </c>
      <c r="Q294" s="36" t="n">
        <f aca="false">2*PI()*(0.993133+99.997361*L294 - INT(0.993133+99.997361*L294))</f>
        <v>4.97618067593202</v>
      </c>
      <c r="R294" s="36" t="n">
        <f aca="false">2*PI()*(0.827361+1236.853086*L294 - INT(0.827361+1236.853086*L294))</f>
        <v>5.17163936991037</v>
      </c>
      <c r="S294" s="36" t="n">
        <f aca="false">2*PI()*(0.259086+1342.227825*L294 - INT(0.259086+1342.227825*L294))</f>
        <v>1.75728416317004</v>
      </c>
      <c r="T294" s="36" t="n">
        <f aca="false">S294+(O294+412*SIN(2*S294)+541*SIN(Q294))/206264.8062</f>
        <v>1.69971884399356</v>
      </c>
      <c r="U294" s="36" t="n">
        <f aca="false">S294-2*R294</f>
        <v>-8.58599457665071</v>
      </c>
      <c r="V294" s="34" t="n">
        <f aca="false">-526*SIN(U294)+44*SIN(P294+U294)-31*SIN(-P294+U294)-23*SIN(Q294+U294)+11*SIN(-Q294+U294)-25*SIN(-2*P294+S294)+21*SIN(-P294+S294)</f>
        <v>374.44066375211</v>
      </c>
      <c r="W294" s="36" t="n">
        <f aca="false">2*PI()*(N294+O294/1296000-INT(N294+O294/1296000))</f>
        <v>2.47218908060813</v>
      </c>
      <c r="X294" s="35" t="n">
        <f aca="false">W294*180/PI()</f>
        <v>141.646000477173</v>
      </c>
      <c r="Y294" s="36" t="n">
        <f aca="false">(18520*SIN(T294)+V294)/206264.8062</f>
        <v>0.090857686617338</v>
      </c>
      <c r="Z294" s="36" t="n">
        <f aca="false">Y294*180/PI()</f>
        <v>5.20576197949573</v>
      </c>
      <c r="AA294" s="36" t="n">
        <f aca="false">COS(Y294)*COS(W294)</f>
        <v>-0.780957326525487</v>
      </c>
      <c r="AB294" s="36" t="n">
        <f aca="false">COS(Y294)*SIN(W294)</f>
        <v>0.617958919027101</v>
      </c>
      <c r="AC294" s="36" t="n">
        <f aca="false">SIN(Y294)</f>
        <v>0.0907327313653743</v>
      </c>
      <c r="AD294" s="36" t="n">
        <f aca="false">COS($A$10*(23.4393-46.815*L294/3600))*AB294-SIN($A$10*(23.4393-46.815*L294/3600))*AC294</f>
        <v>0.530891791320164</v>
      </c>
      <c r="AE294" s="36" t="n">
        <f aca="false">SIN($A$10*(23.4393-46.815*L294/3600))*AB294+COS($A$10*(23.4393-46.815*L294/3600))*AC294</f>
        <v>0.329028205561517</v>
      </c>
      <c r="AF294" s="36" t="n">
        <f aca="false">SQRT(1-AE294*AE294)</f>
        <v>0.944320094006777</v>
      </c>
      <c r="AG294" s="35" t="n">
        <f aca="false">ATAN(AE294/AF294)/$A$10</f>
        <v>19.2098021453948</v>
      </c>
      <c r="AH294" s="36" t="n">
        <f aca="false">IF(24*ATAN(AD294/(AA294+AF294))/PI()&gt;0,24*ATAN(AD294/(AA294+AF294))/PI(),24*ATAN(AD294/(AA294+AF294))/PI()+24)</f>
        <v>9.71948566319343</v>
      </c>
      <c r="AI294" s="63" t="n">
        <f aca="false">IF(M294-15*AH294&gt;0,M294-15*AH294,360+M294-15*AH294)</f>
        <v>257.64679636705</v>
      </c>
      <c r="AJ294" s="32" t="n">
        <f aca="false">0.950724+0.051818*COS(P294)+0.009531*COS(2*R294-P294)+0.007843*COS(2*R294)+0.002824*COS(2*P294)+0.000857*COS(2*R294+P294)+0.000533*COS(2*R294-Q294)*(1-0.002495*(J294-2415020)/36525)+0.000401*COS(2*R294-Q294-P294)*(1-0.002495*(J294-2415020)/36525)+0.00032*COS(P294-Q294)*(1-0.002495*(J294-2415020)/36525)-0.000271*COS(R294)</f>
        <v>0.91328361170396</v>
      </c>
      <c r="AK294" s="36" t="n">
        <f aca="false">ASIN(COS($A$10*$B$5)*COS($A$10*AG294)*COS($A$10*AI294)+SIN($A$10*$B$5)*SIN($A$10*AG294))/$A$10</f>
        <v>7.01855205324639</v>
      </c>
      <c r="AL294" s="32" t="n">
        <f aca="false">ASIN((0.9983271+0.0016764*COS($A$10*2*$B$5))*COS($A$10*AK294)*SIN($A$10*AJ294))/$A$10</f>
        <v>0.904659076070495</v>
      </c>
      <c r="AM294" s="32" t="n">
        <f aca="false">AK294-AL294</f>
        <v>6.1138929771759</v>
      </c>
      <c r="AN294" s="35" t="n">
        <f aca="false"> MOD(280.4664567 + 360007.6982779*L294/10 + 0.03032028*L294^2/100 + L294^3/49931000,360)</f>
        <v>208.444863725274</v>
      </c>
      <c r="AO294" s="32" t="n">
        <f aca="false"> AN294 + (1.9146 - 0.004817*L294 - 0.000014*L294^2)*SIN(Q294)+ (0.019993 - 0.000101*L294)*SIN(2*Q294)+ 0.00029*SIN(3*Q294)</f>
        <v>206.587704040771</v>
      </c>
      <c r="AP294" s="32" t="n">
        <f aca="false">ACOS(COS(W294-$A$10*AO294)*COS(Y294))/$A$10</f>
        <v>65.052148812934</v>
      </c>
      <c r="AQ294" s="34" t="n">
        <f aca="false">180 - AP294 -0.1468*(1-0.0549*SIN(Q294))*SIN($A$10*AP294)/(1-0.0167*SIN($A$10*AO294))</f>
        <v>114.808734056505</v>
      </c>
      <c r="AR294" s="64" t="n">
        <f aca="false">SIN($A$10*AI294)</f>
        <v>-0.976847337779721</v>
      </c>
      <c r="AS294" s="64" t="n">
        <f aca="false">COS($A$10*AI294)*SIN($A$10*$B$5) - TAN($A$10*AG294)*COS($A$10*$B$5)</f>
        <v>-0.387851316917141</v>
      </c>
      <c r="AT294" s="24" t="n">
        <f aca="false">IF(OR(AND(AR294*AS294&gt;0), AND(AR294&lt;0,AS294&gt;0)), MOD(ATAN2(AS294,AR294)/$A$10+360,360),  ATAN2(AS294,AR294)/$A$10)</f>
        <v>248.344747536808</v>
      </c>
      <c r="AU294" s="39" t="n">
        <f aca="false"> 385000.56 + (-20905355*COS(P294) - 3699111*COS(2*R294-P294) - 2955968*COS(2*R294) - 569925*COS(2*P294) + (1-0.002516*L294)*48888*COS(Q294) - 3149*COS(2*S294)  +246158*COS(2*R294-2*P294) -(1 - 0.002516*L294)*152138*COS(2*R294-Q294-P294) -170733*COS(2*R294+P294) -(1 - 0.002516*L294)*204586*COS(2*R294-Q294) -(1 - 0.002516*L294)*129620*COS(Q294-P294)  + 108743*COS(R294) +(1-0.002516*L294)*104755*COS(Q294+P294) +10321*COS(2*R294-2*S294) +79661*COS(P294-2*S294) -34782*COS(4*R294-P294) -23210*COS(3*P294)  -21636*COS(4*R294-2*P294) +(1 - 0.002516*L294)*24208*COS(2*R294+Q294-P294) +(1 - 0.002516*L294)*30824*COS(2*R294+Q294) -8379*COS(R294-P294) -(1 - 0.002516*L294)*16675*COS(R294+Q294)  -(1 - 0.002516*L294)*12831*COS(2*R294-Q294+P294) -10445*COS(2*R294+2*P294) -11650*COS(4*R294) +14403*COS(2*R294-3*P294) -(1-0.002516*L294)*7003*COS(Q294-2*P294)  + (1 - 0.002516*L294)*10056*COS(2*R294-Q294-2*P294) +6322*COS(R294+P294) -(1 - 0.002516*L294)*(1-0.002516*L294)*9884*COS(2*R294-2*Q294) +(1-0.002516*L294)*5751*COS(Q294+2*P294) - (1-0.002516*L294)^2*4950*COS(2*R294-2*Q294-P294)  +4130*COS(2*R294+P294-2*S294) -(1-0.002516*L294)*3958*COS(4*R294-Q294-P294) +3258*COS(3*R294-P294) +(1 - 0.002516*L294)*2616*COS(2*R294+Q294+P294) -(1 - 0.002516*L294)*1897*COS(4*R294-Q294-2*P294)  -(1-0.002516*L294)^2*2117*COS(2*Q294-P294) +(1-0.002516*L294)^2*2354*COS(2*R294+2*Q294-P294) -1423*COS(4*R294+P294) -1117*COS(4*P294) -(1-0.002516*L294)*1571*COS(4*R294-Q294)  -1739*COS(R294-2*P294) -4421*COS(2*P294-2*S294) +(1-0.002516*L294)^2*1165*COS(2*Q294+P294) +8752*COS(2*R294-P294-2*S294))/1000</f>
        <v>400133.913154532</v>
      </c>
      <c r="AV294" s="54" t="n">
        <f aca="false">ATAN(0.99664719*TAN($A$10*input!$E$2))</f>
        <v>0.871010436227447</v>
      </c>
      <c r="AW294" s="54" t="n">
        <f aca="false">COS(AV294)</f>
        <v>0.644053912545845</v>
      </c>
      <c r="AX294" s="54" t="n">
        <f aca="false">0.99664719*SIN(AV294)</f>
        <v>0.762415269897027</v>
      </c>
      <c r="AY294" s="54" t="n">
        <f aca="false">6378.14/AU294</f>
        <v>0.0159400135562535</v>
      </c>
      <c r="AZ294" s="55" t="n">
        <f aca="false">M294-15*AH294</f>
        <v>-102.35320363295</v>
      </c>
      <c r="BA294" s="56" t="n">
        <f aca="false">COS($A$10*AG294)*SIN($A$10*AZ294)</f>
        <v>-0.922456569842416</v>
      </c>
      <c r="BB294" s="56" t="n">
        <f aca="false">COS($A$10*AG294)*COS($A$10*AZ294)-AW294*AY294</f>
        <v>-0.212291762867996</v>
      </c>
      <c r="BC294" s="56" t="n">
        <f aca="false">SIN($A$10*AG294)-AX294*AY294</f>
        <v>0.316875295823863</v>
      </c>
      <c r="BD294" s="57" t="n">
        <f aca="false">SQRT(BA294^2+BB294^2+BC294^2)</f>
        <v>0.998200315032258</v>
      </c>
      <c r="BE294" s="58" t="n">
        <f aca="false">AU294*BD294</f>
        <v>399413.798165944</v>
      </c>
    </row>
    <row r="295" customFormat="false" ht="15" hidden="false" customHeight="false" outlineLevel="0" collapsed="false">
      <c r="D295" s="41" t="n">
        <f aca="false">K295-INT(275*E295/9)+IF($A$8="common year",2,1)*INT((E295+9)/12)+30</f>
        <v>21</v>
      </c>
      <c r="E295" s="41" t="n">
        <f aca="false">IF(K295&lt;32,1,INT(9*(IF($A$8="common year",2,1)+K295)/275+0.98))</f>
        <v>10</v>
      </c>
      <c r="F295" s="42" t="n">
        <f aca="false">AM295</f>
        <v>-3.86082308426083</v>
      </c>
      <c r="G295" s="60" t="n">
        <f aca="false">F295+1.02/(TAN($A$10*(F295+10.3/(F295+5.11)))*60)</f>
        <v>-3.63910964350606</v>
      </c>
      <c r="H295" s="43" t="n">
        <f aca="false">100*(1+COS($A$10*AQ295))/2</f>
        <v>20.5770748154126</v>
      </c>
      <c r="I295" s="43" t="n">
        <f aca="false">IF(AI295&gt;180,AT295-180,AT295+180)</f>
        <v>62.8963967224794</v>
      </c>
      <c r="J295" s="61" t="n">
        <f aca="false">$J$2+K294</f>
        <v>2459873.5</v>
      </c>
      <c r="K295" s="21" t="n">
        <v>294</v>
      </c>
      <c r="L295" s="62" t="n">
        <f aca="false">(J295-2451545)/36525</f>
        <v>0.228021902806297</v>
      </c>
      <c r="M295" s="63" t="n">
        <f aca="false">MOD(280.46061837+360.98564736629*(J295-2451545)+0.000387933*L295^2-L295^3/38710000+$B$7,360)</f>
        <v>44.42472868599</v>
      </c>
      <c r="N295" s="30" t="n">
        <f aca="false">0.606433+1336.855225*L295 - INT(0.606433+1336.855225*L295)</f>
        <v>0.438705181040348</v>
      </c>
      <c r="O295" s="35" t="n">
        <f aca="false">22640*SIN(P295)-4586*SIN(P295-2*R295)+2370*SIN(2*R295)+769*SIN(2*P295)-668*SIN(Q295)-412*SIN(2*S295)-212*SIN(2*P295-2*R295)-206*SIN(P295+Q295-2*R295)+192*SIN(P295+2*R295)-165*SIN(Q295-2*R295)-125*SIN(R295)-110*SIN(P295+Q295)+148*SIN(P295-Q295)-55*SIN(2*S295-2*R295)</f>
        <v>-14489.8806737226</v>
      </c>
      <c r="P295" s="32" t="n">
        <f aca="false">2*PI()*(0.374897+1325.55241*L295 - INT(0.374897+1325.55241*L295))</f>
        <v>3.95765149002699</v>
      </c>
      <c r="Q295" s="36" t="n">
        <f aca="false">2*PI()*(0.993133+99.997361*L295 - INT(0.993133+99.997361*L295))</f>
        <v>4.993382645799</v>
      </c>
      <c r="R295" s="36" t="n">
        <f aca="false">2*PI()*(0.827361+1236.853086*L295 - INT(0.827361+1236.853086*L295))</f>
        <v>5.38440808002904</v>
      </c>
      <c r="S295" s="36" t="n">
        <f aca="false">2*PI()*(0.259086+1342.227825*L295 - INT(0.259086+1342.227825*L295))</f>
        <v>1.98817988251104</v>
      </c>
      <c r="T295" s="36" t="n">
        <f aca="false">S295+(O295+412*SIN(2*S295)+541*SIN(Q295))/206264.8062</f>
        <v>1.91393060613183</v>
      </c>
      <c r="U295" s="36" t="n">
        <f aca="false">S295-2*R295</f>
        <v>-8.78063627754704</v>
      </c>
      <c r="V295" s="34" t="n">
        <f aca="false">-526*SIN(U295)+44*SIN(P295+U295)-31*SIN(-P295+U295)-23*SIN(Q295+U295)+11*SIN(-Q295+U295)-25*SIN(-2*P295+S295)+21*SIN(-P295+S295)</f>
        <v>312.713814131325</v>
      </c>
      <c r="W295" s="36" t="n">
        <f aca="false">2*PI()*(N295+O295/1296000-INT(N295+O295/1296000))</f>
        <v>2.68621702381362</v>
      </c>
      <c r="X295" s="35" t="n">
        <f aca="false">W295*180/PI()</f>
        <v>153.908898320713</v>
      </c>
      <c r="Y295" s="36" t="n">
        <f aca="false">(18520*SIN(T295)+V295)/206264.8062</f>
        <v>0.0860693927488792</v>
      </c>
      <c r="Z295" s="36" t="n">
        <f aca="false">Y295*180/PI()</f>
        <v>4.93141294976467</v>
      </c>
      <c r="AA295" s="36" t="n">
        <f aca="false">COS(Y295)*COS(W295)</f>
        <v>-0.89477142233113</v>
      </c>
      <c r="AB295" s="36" t="n">
        <f aca="false">COS(Y295)*SIN(W295)</f>
        <v>0.43817169680362</v>
      </c>
      <c r="AC295" s="36" t="n">
        <f aca="false">SIN(Y295)</f>
        <v>0.0859631659477699</v>
      </c>
      <c r="AD295" s="36" t="n">
        <f aca="false">COS($A$10*(23.4393-46.815*L295/3600))*AB295-SIN($A$10*(23.4393-46.815*L295/3600))*AC295</f>
        <v>0.367833550535357</v>
      </c>
      <c r="AE295" s="36" t="n">
        <f aca="false">SIN($A$10*(23.4393-46.815*L295/3600))*AB295+COS($A$10*(23.4393-46.815*L295/3600))*AC295</f>
        <v>0.253145374992474</v>
      </c>
      <c r="AF295" s="36" t="n">
        <f aca="false">SQRT(1-AE295*AE295)</f>
        <v>0.967428250114663</v>
      </c>
      <c r="AG295" s="35" t="n">
        <f aca="false">ATAN(AE295/AF295)/$A$10</f>
        <v>14.6637176578921</v>
      </c>
      <c r="AH295" s="36" t="n">
        <f aca="false">IF(24*ATAN(AD295/(AA295+AF295))/PI()&gt;0,24*ATAN(AD295/(AA295+AF295))/PI(),24*ATAN(AD295/(AA295+AF295))/PI()+24)</f>
        <v>10.5101879093197</v>
      </c>
      <c r="AI295" s="63" t="n">
        <f aca="false">IF(M295-15*AH295&gt;0,M295-15*AH295,360+M295-15*AH295)</f>
        <v>246.771910046195</v>
      </c>
      <c r="AJ295" s="32" t="n">
        <f aca="false">0.950724+0.051818*COS(P295)+0.009531*COS(2*R295-P295)+0.007843*COS(2*R295)+0.002824*COS(2*P295)+0.000857*COS(2*R295+P295)+0.000533*COS(2*R295-Q295)*(1-0.002495*(J295-2415020)/36525)+0.000401*COS(2*R295-Q295-P295)*(1-0.002495*(J295-2415020)/36525)+0.00032*COS(P295-Q295)*(1-0.002495*(J295-2415020)/36525)-0.000271*COS(R295)</f>
        <v>0.921404668562663</v>
      </c>
      <c r="AK295" s="36" t="n">
        <f aca="false">ASIN(COS($A$10*$B$5)*COS($A$10*AG295)*COS($A$10*AI295)+SIN($A$10*$B$5)*SIN($A$10*AG295))/$A$10</f>
        <v>-2.94244070443101</v>
      </c>
      <c r="AL295" s="32" t="n">
        <f aca="false">ASIN((0.9983271+0.0016764*COS($A$10*2*$B$5))*COS($A$10*AK295)*SIN($A$10*AJ295))/$A$10</f>
        <v>0.918382379829825</v>
      </c>
      <c r="AM295" s="32" t="n">
        <f aca="false">AK295-AL295</f>
        <v>-3.86082308426083</v>
      </c>
      <c r="AN295" s="35" t="n">
        <f aca="false"> MOD(280.4664567 + 360007.6982779*L295/10 + 0.03032028*L295^2/100 + L295^3/49931000,360)</f>
        <v>209.430511089164</v>
      </c>
      <c r="AO295" s="32" t="n">
        <f aca="false"> AN295 + (1.9146 - 0.004817*L295 - 0.000014*L295^2)*SIN(Q295)+ (0.019993 - 0.000101*L295)*SIN(2*Q295)+ 0.00029*SIN(3*Q295)</f>
        <v>207.58160856017</v>
      </c>
      <c r="AP295" s="32" t="n">
        <f aca="false">ACOS(COS(W295-$A$10*AO295)*COS(Y295))/$A$10</f>
        <v>53.8285065030374</v>
      </c>
      <c r="AQ295" s="34" t="n">
        <f aca="false">180 - AP295 -0.1468*(1-0.0549*SIN(Q295))*SIN($A$10*AP295)/(1-0.0167*SIN($A$10*AO295))</f>
        <v>126.047695087877</v>
      </c>
      <c r="AR295" s="64" t="n">
        <f aca="false">SIN($A$10*AI295)</f>
        <v>-0.918942093983024</v>
      </c>
      <c r="AS295" s="64" t="n">
        <f aca="false">COS($A$10*AI295)*SIN($A$10*$B$5) - TAN($A$10*AG295)*COS($A$10*$B$5)</f>
        <v>-0.470319354556016</v>
      </c>
      <c r="AT295" s="24" t="n">
        <f aca="false">IF(OR(AND(AR295*AS295&gt;0), AND(AR295&lt;0,AS295&gt;0)), MOD(ATAN2(AS295,AR295)/$A$10+360,360),  ATAN2(AS295,AR295)/$A$10)</f>
        <v>242.896396722479</v>
      </c>
      <c r="AU295" s="39" t="n">
        <f aca="false"> 385000.56 + (-20905355*COS(P295) - 3699111*COS(2*R295-P295) - 2955968*COS(2*R295) - 569925*COS(2*P295) + (1-0.002516*L295)*48888*COS(Q295) - 3149*COS(2*S295)  +246158*COS(2*R295-2*P295) -(1 - 0.002516*L295)*152138*COS(2*R295-Q295-P295) -170733*COS(2*R295+P295) -(1 - 0.002516*L295)*204586*COS(2*R295-Q295) -(1 - 0.002516*L295)*129620*COS(Q295-P295)  + 108743*COS(R295) +(1-0.002516*L295)*104755*COS(Q295+P295) +10321*COS(2*R295-2*S295) +79661*COS(P295-2*S295) -34782*COS(4*R295-P295) -23210*COS(3*P295)  -21636*COS(4*R295-2*P295) +(1 - 0.002516*L295)*24208*COS(2*R295+Q295-P295) +(1 - 0.002516*L295)*30824*COS(2*R295+Q295) -8379*COS(R295-P295) -(1 - 0.002516*L295)*16675*COS(R295+Q295)  -(1 - 0.002516*L295)*12831*COS(2*R295-Q295+P295) -10445*COS(2*R295+2*P295) -11650*COS(4*R295) +14403*COS(2*R295-3*P295) -(1-0.002516*L295)*7003*COS(Q295-2*P295)  + (1 - 0.002516*L295)*10056*COS(2*R295-Q295-2*P295) +6322*COS(R295+P295) -(1 - 0.002516*L295)*(1-0.002516*L295)*9884*COS(2*R295-2*Q295) +(1-0.002516*L295)*5751*COS(Q295+2*P295) - (1-0.002516*L295)^2*4950*COS(2*R295-2*Q295-P295)  +4130*COS(2*R295+P295-2*S295) -(1-0.002516*L295)*3958*COS(4*R295-Q295-P295) +3258*COS(3*R295-P295) +(1 - 0.002516*L295)*2616*COS(2*R295+Q295+P295) -(1 - 0.002516*L295)*1897*COS(4*R295-Q295-2*P295)  -(1-0.002516*L295)^2*2117*COS(2*Q295-P295) +(1-0.002516*L295)^2*2354*COS(2*R295+2*Q295-P295) -1423*COS(4*R295+P295) -1117*COS(4*P295) -(1-0.002516*L295)*1571*COS(4*R295-Q295)  -1739*COS(R295-2*P295) -4421*COS(2*P295-2*S295) +(1-0.002516*L295)^2*1165*COS(2*Q295+P295) +8752*COS(2*R295-P295-2*S295))/1000</f>
        <v>396525.927066574</v>
      </c>
      <c r="AV295" s="54" t="n">
        <f aca="false">ATAN(0.99664719*TAN($A$10*input!$E$2))</f>
        <v>0.871010436227447</v>
      </c>
      <c r="AW295" s="54" t="n">
        <f aca="false">COS(AV295)</f>
        <v>0.644053912545845</v>
      </c>
      <c r="AX295" s="54" t="n">
        <f aca="false">0.99664719*SIN(AV295)</f>
        <v>0.762415269897027</v>
      </c>
      <c r="AY295" s="54" t="n">
        <f aca="false">6378.14/AU295</f>
        <v>0.0160850516060433</v>
      </c>
      <c r="AZ295" s="55" t="n">
        <f aca="false">M295-15*AH295</f>
        <v>-113.228089953805</v>
      </c>
      <c r="BA295" s="56" t="n">
        <f aca="false">COS($A$10*AG295)*SIN($A$10*AZ295)</f>
        <v>-0.889010541938701</v>
      </c>
      <c r="BB295" s="56" t="n">
        <f aca="false">COS($A$10*AG295)*COS($A$10*AZ295)-AW295*AY295</f>
        <v>-0.391906066745896</v>
      </c>
      <c r="BC295" s="56" t="n">
        <f aca="false">SIN($A$10*AG295)-AX295*AY295</f>
        <v>0.240881886030945</v>
      </c>
      <c r="BD295" s="57" t="n">
        <f aca="false">SQRT(BA295^2+BB295^2+BC295^2)</f>
        <v>1.00097661903174</v>
      </c>
      <c r="BE295" s="58" t="n">
        <f aca="false">AU295*BD295</f>
        <v>396913.181833524</v>
      </c>
    </row>
    <row r="296" customFormat="false" ht="15" hidden="false" customHeight="false" outlineLevel="0" collapsed="false">
      <c r="D296" s="41" t="n">
        <f aca="false">K296-INT(275*E296/9)+IF($A$8="common year",2,1)*INT((E296+9)/12)+30</f>
        <v>22</v>
      </c>
      <c r="E296" s="41" t="n">
        <f aca="false">IF(K296&lt;32,1,INT(9*(IF($A$8="common year",2,1)+K296)/275+0.98))</f>
        <v>10</v>
      </c>
      <c r="F296" s="42" t="n">
        <f aca="false">AM296</f>
        <v>-14.0596476240513</v>
      </c>
      <c r="G296" s="60" t="n">
        <f aca="false">F296+1.02/(TAN($A$10*(F296+10.3/(F296+5.11)))*60)</f>
        <v>-14.1221725964496</v>
      </c>
      <c r="H296" s="43" t="n">
        <f aca="false">100*(1+COS($A$10*AQ296))/2</f>
        <v>13.103959034828</v>
      </c>
      <c r="I296" s="43" t="n">
        <f aca="false">IF(AI296&gt;180,AT296-180,AT296+180)</f>
        <v>57.3014483697107</v>
      </c>
      <c r="J296" s="61" t="n">
        <f aca="false">$J$2+K295</f>
        <v>2459874.5</v>
      </c>
      <c r="K296" s="21" t="n">
        <v>295</v>
      </c>
      <c r="L296" s="62" t="n">
        <f aca="false">(J296-2451545)/36525</f>
        <v>0.228049281314168</v>
      </c>
      <c r="M296" s="63" t="n">
        <f aca="false">MOD(280.46061837+360.98564736629*(J296-2451545)+0.000387933*L296^2-L296^3/38710000+$B$7,360)</f>
        <v>45.4103760574944</v>
      </c>
      <c r="N296" s="30" t="n">
        <f aca="false">0.606433+1336.855225*L296 - INT(0.606433+1336.855225*L296)</f>
        <v>0.475306282340853</v>
      </c>
      <c r="O296" s="35" t="n">
        <f aca="false">22640*SIN(P296)-4586*SIN(P296-2*R296)+2370*SIN(2*R296)+769*SIN(2*P296)-668*SIN(Q296)-412*SIN(2*S296)-212*SIN(2*P296-2*R296)-206*SIN(P296+Q296-2*R296)+192*SIN(P296+2*R296)-165*SIN(Q296-2*R296)-125*SIN(R296)-110*SIN(P296+Q296)+148*SIN(P296-Q296)-55*SIN(2*S296-2*R296)</f>
        <v>-16878.5668185162</v>
      </c>
      <c r="P296" s="32" t="n">
        <f aca="false">2*PI()*(0.374897+1325.55241*L296 - INT(0.374897+1325.55241*L296))</f>
        <v>4.1856786338028</v>
      </c>
      <c r="Q296" s="36" t="n">
        <f aca="false">2*PI()*(0.993133+99.997361*L296 - INT(0.993133+99.997361*L296))</f>
        <v>5.01058461566601</v>
      </c>
      <c r="R296" s="36" t="n">
        <f aca="false">2*PI()*(0.827361+1236.853086*L296 - INT(0.827361+1236.853086*L296))</f>
        <v>5.59717679014806</v>
      </c>
      <c r="S296" s="36" t="n">
        <f aca="false">2*PI()*(0.259086+1342.227825*L296 - INT(0.259086+1342.227825*L296))</f>
        <v>2.21907560185205</v>
      </c>
      <c r="T296" s="36" t="n">
        <f aca="false">S296+(O296+412*SIN(2*S296)+541*SIN(Q296))/206264.8062</f>
        <v>2.13281611744189</v>
      </c>
      <c r="U296" s="36" t="n">
        <f aca="false">S296-2*R296</f>
        <v>-8.97527797844408</v>
      </c>
      <c r="V296" s="34" t="n">
        <f aca="false">-526*SIN(U296)+44*SIN(P296+U296)-31*SIN(-P296+U296)-23*SIN(Q296+U296)+11*SIN(-Q296+U296)-25*SIN(-2*P296+S296)+21*SIN(-P296+S296)</f>
        <v>239.410160840581</v>
      </c>
      <c r="W296" s="36" t="n">
        <f aca="false">2*PI()*(N296+O296/1296000-INT(N296+O296/1296000))</f>
        <v>2.90460784850282</v>
      </c>
      <c r="X296" s="35" t="n">
        <f aca="false">W296*180/PI()</f>
        <v>166.421770859786</v>
      </c>
      <c r="Y296" s="36" t="n">
        <f aca="false">(18520*SIN(T296)+V296)/206264.8062</f>
        <v>0.0771371194551218</v>
      </c>
      <c r="Z296" s="36" t="n">
        <f aca="false">Y296*180/PI()</f>
        <v>4.41963138857495</v>
      </c>
      <c r="AA296" s="36" t="n">
        <f aca="false">COS(Y296)*COS(W296)</f>
        <v>-0.96915979647747</v>
      </c>
      <c r="AB296" s="36" t="n">
        <f aca="false">COS(Y296)*SIN(W296)</f>
        <v>0.23407465839959</v>
      </c>
      <c r="AC296" s="36" t="n">
        <f aca="false">SIN(Y296)</f>
        <v>0.0770606461617345</v>
      </c>
      <c r="AD296" s="36" t="n">
        <f aca="false">COS($A$10*(23.4393-46.815*L296/3600))*AB296-SIN($A$10*(23.4393-46.815*L296/3600))*AC296</f>
        <v>0.184114788706144</v>
      </c>
      <c r="AE296" s="36" t="n">
        <f aca="false">SIN($A$10*(23.4393-46.815*L296/3600))*AB296+COS($A$10*(23.4393-46.815*L296/3600))*AC296</f>
        <v>0.163801811563366</v>
      </c>
      <c r="AF296" s="36" t="n">
        <f aca="false">SQRT(1-AE296*AE296)</f>
        <v>0.986493267350852</v>
      </c>
      <c r="AG296" s="35" t="n">
        <f aca="false">ATAN(AE296/AF296)/$A$10</f>
        <v>9.42763634382454</v>
      </c>
      <c r="AH296" s="36" t="n">
        <f aca="false">IF(24*ATAN(AD296/(AA296+AF296))/PI()&gt;0,24*ATAN(AD296/(AA296+AF296))/PI(),24*ATAN(AD296/(AA296+AF296))/PI()+24)</f>
        <v>11.2828994714535</v>
      </c>
      <c r="AI296" s="63" t="n">
        <f aca="false">IF(M296-15*AH296&gt;0,M296-15*AH296,360+M296-15*AH296)</f>
        <v>236.166883985693</v>
      </c>
      <c r="AJ296" s="32" t="n">
        <f aca="false">0.950724+0.051818*COS(P296)+0.009531*COS(2*R296-P296)+0.007843*COS(2*R296)+0.002824*COS(2*P296)+0.000857*COS(2*R296+P296)+0.000533*COS(2*R296-Q296)*(1-0.002495*(J296-2415020)/36525)+0.000401*COS(2*R296-Q296-P296)*(1-0.002495*(J296-2415020)/36525)+0.00032*COS(P296-Q296)*(1-0.002495*(J296-2415020)/36525)-0.000271*COS(R296)</f>
        <v>0.93151691366022</v>
      </c>
      <c r="AK296" s="36" t="n">
        <f aca="false">ASIN(COS($A$10*$B$5)*COS($A$10*AG296)*COS($A$10*AI296)+SIN($A$10*$B$5)*SIN($A$10*AG296))/$A$10</f>
        <v>-13.1543569571827</v>
      </c>
      <c r="AL296" s="32" t="n">
        <f aca="false">ASIN((0.9983271+0.0016764*COS($A$10*2*$B$5))*COS($A$10*AK296)*SIN($A$10*AJ296))/$A$10</f>
        <v>0.905290666868566</v>
      </c>
      <c r="AM296" s="32" t="n">
        <f aca="false">AK296-AL296</f>
        <v>-14.0596476240513</v>
      </c>
      <c r="AN296" s="35" t="n">
        <f aca="false"> MOD(280.4664567 + 360007.6982779*L296/10 + 0.03032028*L296^2/100 + L296^3/49931000,360)</f>
        <v>210.416158453054</v>
      </c>
      <c r="AO296" s="32" t="n">
        <f aca="false"> AN296 + (1.9146 - 0.004817*L296 - 0.000014*L296^2)*SIN(Q296)+ (0.019993 - 0.000101*L296)*SIN(2*Q296)+ 0.00029*SIN(3*Q296)</f>
        <v>208.576069158453</v>
      </c>
      <c r="AP296" s="32" t="n">
        <f aca="false">ACOS(COS(W296-$A$10*AO296)*COS(Y296))/$A$10</f>
        <v>42.3421565878601</v>
      </c>
      <c r="AQ296" s="34" t="n">
        <f aca="false">180 - AP296 -0.1468*(1-0.0549*SIN(Q296))*SIN($A$10*AP296)/(1-0.0167*SIN($A$10*AO296))</f>
        <v>137.554601173474</v>
      </c>
      <c r="AR296" s="64" t="n">
        <f aca="false">SIN($A$10*AI296)</f>
        <v>-0.830662800812432</v>
      </c>
      <c r="AS296" s="64" t="n">
        <f aca="false">COS($A$10*AI296)*SIN($A$10*$B$5) - TAN($A$10*AG296)*COS($A$10*$B$5)</f>
        <v>-0.533246388285598</v>
      </c>
      <c r="AT296" s="24" t="n">
        <f aca="false">IF(OR(AND(AR296*AS296&gt;0), AND(AR296&lt;0,AS296&gt;0)), MOD(ATAN2(AS296,AR296)/$A$10+360,360),  ATAN2(AS296,AR296)/$A$10)</f>
        <v>237.301448369711</v>
      </c>
      <c r="AU296" s="39" t="n">
        <f aca="false"> 385000.56 + (-20905355*COS(P296) - 3699111*COS(2*R296-P296) - 2955968*COS(2*R296) - 569925*COS(2*P296) + (1-0.002516*L296)*48888*COS(Q296) - 3149*COS(2*S296)  +246158*COS(2*R296-2*P296) -(1 - 0.002516*L296)*152138*COS(2*R296-Q296-P296) -170733*COS(2*R296+P296) -(1 - 0.002516*L296)*204586*COS(2*R296-Q296) -(1 - 0.002516*L296)*129620*COS(Q296-P296)  + 108743*COS(R296) +(1-0.002516*L296)*104755*COS(Q296+P296) +10321*COS(2*R296-2*S296) +79661*COS(P296-2*S296) -34782*COS(4*R296-P296) -23210*COS(3*P296)  -21636*COS(4*R296-2*P296) +(1 - 0.002516*L296)*24208*COS(2*R296+Q296-P296) +(1 - 0.002516*L296)*30824*COS(2*R296+Q296) -8379*COS(R296-P296) -(1 - 0.002516*L296)*16675*COS(R296+Q296)  -(1 - 0.002516*L296)*12831*COS(2*R296-Q296+P296) -10445*COS(2*R296+2*P296) -11650*COS(4*R296) +14403*COS(2*R296-3*P296) -(1-0.002516*L296)*7003*COS(Q296-2*P296)  + (1 - 0.002516*L296)*10056*COS(2*R296-Q296-2*P296) +6322*COS(R296+P296) -(1 - 0.002516*L296)*(1-0.002516*L296)*9884*COS(2*R296-2*Q296) +(1-0.002516*L296)*5751*COS(Q296+2*P296) - (1-0.002516*L296)^2*4950*COS(2*R296-2*Q296-P296)  +4130*COS(2*R296+P296-2*S296) -(1-0.002516*L296)*3958*COS(4*R296-Q296-P296) +3258*COS(3*R296-P296) +(1 - 0.002516*L296)*2616*COS(2*R296+Q296+P296) -(1 - 0.002516*L296)*1897*COS(4*R296-Q296-2*P296)  -(1-0.002516*L296)^2*2117*COS(2*Q296-P296) +(1-0.002516*L296)^2*2354*COS(2*R296+2*Q296-P296) -1423*COS(4*R296+P296) -1117*COS(4*P296) -(1-0.002516*L296)*1571*COS(4*R296-Q296)  -1739*COS(R296-2*P296) -4421*COS(2*P296-2*S296) +(1-0.002516*L296)^2*1165*COS(2*Q296+P296) +8752*COS(2*R296-P296-2*S296))/1000</f>
        <v>392178.44519009</v>
      </c>
      <c r="AV296" s="54" t="n">
        <f aca="false">ATAN(0.99664719*TAN($A$10*input!$E$2))</f>
        <v>0.871010436227447</v>
      </c>
      <c r="AW296" s="54" t="n">
        <f aca="false">COS(AV296)</f>
        <v>0.644053912545845</v>
      </c>
      <c r="AX296" s="54" t="n">
        <f aca="false">0.99664719*SIN(AV296)</f>
        <v>0.762415269897027</v>
      </c>
      <c r="AY296" s="54" t="n">
        <f aca="false">6378.14/AU296</f>
        <v>0.016263361942058</v>
      </c>
      <c r="AZ296" s="55" t="n">
        <f aca="false">M296-15*AH296</f>
        <v>-123.833116014307</v>
      </c>
      <c r="BA296" s="56" t="n">
        <f aca="false">COS($A$10*AG296)*SIN($A$10*AZ296)</f>
        <v>-0.819443260440266</v>
      </c>
      <c r="BB296" s="56" t="n">
        <f aca="false">COS($A$10*AG296)*COS($A$10*AZ296)-AW296*AY296</f>
        <v>-0.559730077626185</v>
      </c>
      <c r="BC296" s="56" t="n">
        <f aca="false">SIN($A$10*AG296)-AX296*AY296</f>
        <v>0.151402376078879</v>
      </c>
      <c r="BD296" s="57" t="n">
        <f aca="false">SQRT(BA296^2+BB296^2+BC296^2)</f>
        <v>1.00384645059029</v>
      </c>
      <c r="BE296" s="58" t="n">
        <f aca="false">AU296*BD296</f>
        <v>393686.940202089</v>
      </c>
    </row>
    <row r="297" customFormat="false" ht="15" hidden="false" customHeight="false" outlineLevel="0" collapsed="false">
      <c r="D297" s="41" t="n">
        <f aca="false">K297-INT(275*E297/9)+IF($A$8="common year",2,1)*INT((E297+9)/12)+30</f>
        <v>23</v>
      </c>
      <c r="E297" s="41" t="n">
        <f aca="false">IF(K297&lt;32,1,INT(9*(IF($A$8="common year",2,1)+K297)/275+0.98))</f>
        <v>10</v>
      </c>
      <c r="F297" s="42" t="n">
        <f aca="false">AM297</f>
        <v>-24.3999004816396</v>
      </c>
      <c r="G297" s="60" t="n">
        <f aca="false">F297+1.02/(TAN($A$10*(F297+10.3/(F297+5.11)))*60)</f>
        <v>-24.4364672480097</v>
      </c>
      <c r="H297" s="43" t="n">
        <f aca="false">100*(1+COS($A$10*AQ297))/2</f>
        <v>6.97172529562635</v>
      </c>
      <c r="I297" s="43" t="n">
        <f aca="false">IF(AI297&gt;180,AT297-180,AT297+180)</f>
        <v>51.0968432201714</v>
      </c>
      <c r="J297" s="61" t="n">
        <f aca="false">$J$2+K296</f>
        <v>2459875.5</v>
      </c>
      <c r="K297" s="21" t="n">
        <v>296</v>
      </c>
      <c r="L297" s="62" t="n">
        <f aca="false">(J297-2451545)/36525</f>
        <v>0.22807665982204</v>
      </c>
      <c r="M297" s="63" t="n">
        <f aca="false">MOD(280.46061837+360.98564736629*(J297-2451545)+0.000387933*L297^2-L297^3/38710000+$B$7,360)</f>
        <v>46.3960234285332</v>
      </c>
      <c r="N297" s="30" t="n">
        <f aca="false">0.606433+1336.855225*L297 - INT(0.606433+1336.855225*L297)</f>
        <v>0.511907383641358</v>
      </c>
      <c r="O297" s="35" t="n">
        <f aca="false">22640*SIN(P297)-4586*SIN(P297-2*R297)+2370*SIN(2*R297)+769*SIN(2*P297)-668*SIN(Q297)-412*SIN(2*S297)-212*SIN(2*P297-2*R297)-206*SIN(P297+Q297-2*R297)+192*SIN(P297+2*R297)-165*SIN(Q297-2*R297)-125*SIN(R297)-110*SIN(P297+Q297)+148*SIN(P297-Q297)-55*SIN(2*S297-2*R297)</f>
        <v>-18204.0435778458</v>
      </c>
      <c r="P297" s="32" t="n">
        <f aca="false">2*PI()*(0.374897+1325.55241*L297 - INT(0.374897+1325.55241*L297))</f>
        <v>4.41370577757862</v>
      </c>
      <c r="Q297" s="36" t="n">
        <f aca="false">2*PI()*(0.993133+99.997361*L297 - INT(0.993133+99.997361*L297))</f>
        <v>5.027786585533</v>
      </c>
      <c r="R297" s="36" t="n">
        <f aca="false">2*PI()*(0.827361+1236.853086*L297 - INT(0.827361+1236.853086*L297))</f>
        <v>5.80994550026709</v>
      </c>
      <c r="S297" s="36" t="n">
        <f aca="false">2*PI()*(0.259086+1342.227825*L297 - INT(0.259086+1342.227825*L297))</f>
        <v>2.44997132119305</v>
      </c>
      <c r="T297" s="36" t="n">
        <f aca="false">S297+(O297+412*SIN(2*S297)+541*SIN(Q297))/206264.8062</f>
        <v>2.35725975798033</v>
      </c>
      <c r="U297" s="36" t="n">
        <f aca="false">S297-2*R297</f>
        <v>-9.16991967934112</v>
      </c>
      <c r="V297" s="34" t="n">
        <f aca="false">-526*SIN(U297)+44*SIN(P297+U297)-31*SIN(-P297+U297)-23*SIN(Q297+U297)+11*SIN(-Q297+U297)-25*SIN(-2*P297+S297)+21*SIN(-P297+S297)</f>
        <v>155.550356724765</v>
      </c>
      <c r="W297" s="36" t="n">
        <f aca="false">2*PI()*(N297+O297/1296000-INT(N297+O297/1296000))</f>
        <v>3.12815325775158</v>
      </c>
      <c r="X297" s="35" t="n">
        <f aca="false">W297*180/PI()</f>
        <v>179.229979339265</v>
      </c>
      <c r="Y297" s="36" t="n">
        <f aca="false">(18520*SIN(T297)+V297)/206264.8062</f>
        <v>0.0641758059496593</v>
      </c>
      <c r="Z297" s="36" t="n">
        <f aca="false">Y297*180/PI()</f>
        <v>3.67700282776604</v>
      </c>
      <c r="AA297" s="36" t="n">
        <f aca="false">COS(Y297)*COS(W297)</f>
        <v>-0.997851318213881</v>
      </c>
      <c r="AB297" s="36" t="n">
        <f aca="false">COS(Y297)*SIN(W297)</f>
        <v>0.0134113263023306</v>
      </c>
      <c r="AC297" s="36" t="n">
        <f aca="false">SIN(Y297)</f>
        <v>0.0641317633129881</v>
      </c>
      <c r="AD297" s="36" t="n">
        <f aca="false">COS($A$10*(23.4393-46.815*L297/3600))*AB297-SIN($A$10*(23.4393-46.815*L297/3600))*AC297</f>
        <v>-0.0132021870174727</v>
      </c>
      <c r="AE297" s="36" t="n">
        <f aca="false">SIN($A$10*(23.4393-46.815*L297/3600))*AB297+COS($A$10*(23.4393-46.815*L297/3600))*AC297</f>
        <v>0.0641751431379501</v>
      </c>
      <c r="AF297" s="36" t="n">
        <f aca="false">SQRT(1-AE297*AE297)</f>
        <v>0.9979386509216</v>
      </c>
      <c r="AG297" s="35" t="n">
        <f aca="false">ATAN(AE297/AF297)/$A$10</f>
        <v>3.67949343919877</v>
      </c>
      <c r="AH297" s="36" t="n">
        <f aca="false">IF(24*ATAN(AD297/(AA297+AF297))/PI()&gt;0,24*ATAN(AD297/(AA297+AF297))/PI(),24*ATAN(AD297/(AA297+AF297))/PI()+24)</f>
        <v>12.0505342796608</v>
      </c>
      <c r="AI297" s="63" t="n">
        <f aca="false">IF(M297-15*AH297&gt;0,M297-15*AH297,360+M297-15*AH297)</f>
        <v>225.638009233621</v>
      </c>
      <c r="AJ297" s="32" t="n">
        <f aca="false">0.950724+0.051818*COS(P297)+0.009531*COS(2*R297-P297)+0.007843*COS(2*R297)+0.002824*COS(2*P297)+0.000857*COS(2*R297+P297)+0.000533*COS(2*R297-Q297)*(1-0.002495*(J297-2415020)/36525)+0.000401*COS(2*R297-Q297-P297)*(1-0.002495*(J297-2415020)/36525)+0.00032*COS(P297-Q297)*(1-0.002495*(J297-2415020)/36525)-0.000271*COS(R297)</f>
        <v>0.942962403401329</v>
      </c>
      <c r="AK297" s="36" t="n">
        <f aca="false">ASIN(COS($A$10*$B$5)*COS($A$10*AG297)*COS($A$10*AI297)+SIN($A$10*$B$5)*SIN($A$10*AG297))/$A$10</f>
        <v>-23.5370951699212</v>
      </c>
      <c r="AL297" s="32" t="n">
        <f aca="false">ASIN((0.9983271+0.0016764*COS($A$10*2*$B$5))*COS($A$10*AK297)*SIN($A$10*AJ297))/$A$10</f>
        <v>0.862805311718455</v>
      </c>
      <c r="AM297" s="32" t="n">
        <f aca="false">AK297-AL297</f>
        <v>-24.3999004816396</v>
      </c>
      <c r="AN297" s="35" t="n">
        <f aca="false"> MOD(280.4664567 + 360007.6982779*L297/10 + 0.03032028*L297^2/100 + L297^3/49931000,360)</f>
        <v>211.401805816944</v>
      </c>
      <c r="AO297" s="32" t="n">
        <f aca="false"> AN297 + (1.9146 - 0.004817*L297 - 0.000014*L297^2)*SIN(Q297)+ (0.019993 - 0.000101*L297)*SIN(2*Q297)+ 0.00029*SIN(3*Q297)</f>
        <v>209.571083765088</v>
      </c>
      <c r="AP297" s="32" t="n">
        <f aca="false">ACOS(COS(W297-$A$10*AO297)*COS(Y297))/$A$10</f>
        <v>30.5420128211227</v>
      </c>
      <c r="AQ297" s="34" t="n">
        <f aca="false">180 - AP297 -0.1468*(1-0.0549*SIN(Q297))*SIN($A$10*AP297)/(1-0.0167*SIN($A$10*AO297))</f>
        <v>149.380135943563</v>
      </c>
      <c r="AR297" s="64" t="n">
        <f aca="false">SIN($A$10*AI297)</f>
        <v>-0.714936669441431</v>
      </c>
      <c r="AS297" s="64" t="n">
        <f aca="false">COS($A$10*AI297)*SIN($A$10*$B$5) - TAN($A$10*AG297)*COS($A$10*$B$5)</f>
        <v>-0.576946208199189</v>
      </c>
      <c r="AT297" s="24" t="n">
        <f aca="false">IF(OR(AND(AR297*AS297&gt;0), AND(AR297&lt;0,AS297&gt;0)), MOD(ATAN2(AS297,AR297)/$A$10+360,360),  ATAN2(AS297,AR297)/$A$10)</f>
        <v>231.096843220171</v>
      </c>
      <c r="AU297" s="39" t="n">
        <f aca="false"> 385000.56 + (-20905355*COS(P297) - 3699111*COS(2*R297-P297) - 2955968*COS(2*R297) - 569925*COS(2*P297) + (1-0.002516*L297)*48888*COS(Q297) - 3149*COS(2*S297)  +246158*COS(2*R297-2*P297) -(1 - 0.002516*L297)*152138*COS(2*R297-Q297-P297) -170733*COS(2*R297+P297) -(1 - 0.002516*L297)*204586*COS(2*R297-Q297) -(1 - 0.002516*L297)*129620*COS(Q297-P297)  + 108743*COS(R297) +(1-0.002516*L297)*104755*COS(Q297+P297) +10321*COS(2*R297-2*S297) +79661*COS(P297-2*S297) -34782*COS(4*R297-P297) -23210*COS(3*P297)  -21636*COS(4*R297-2*P297) +(1 - 0.002516*L297)*24208*COS(2*R297+Q297-P297) +(1 - 0.002516*L297)*30824*COS(2*R297+Q297) -8379*COS(R297-P297) -(1 - 0.002516*L297)*16675*COS(R297+Q297)  -(1 - 0.002516*L297)*12831*COS(2*R297-Q297+P297) -10445*COS(2*R297+2*P297) -11650*COS(4*R297) +14403*COS(2*R297-3*P297) -(1-0.002516*L297)*7003*COS(Q297-2*P297)  + (1 - 0.002516*L297)*10056*COS(2*R297-Q297-2*P297) +6322*COS(R297+P297) -(1 - 0.002516*L297)*(1-0.002516*L297)*9884*COS(2*R297-2*Q297) +(1-0.002516*L297)*5751*COS(Q297+2*P297) - (1-0.002516*L297)^2*4950*COS(2*R297-2*Q297-P297)  +4130*COS(2*R297+P297-2*S297) -(1-0.002516*L297)*3958*COS(4*R297-Q297-P297) +3258*COS(3*R297-P297) +(1 - 0.002516*L297)*2616*COS(2*R297+Q297+P297) -(1 - 0.002516*L297)*1897*COS(4*R297-Q297-2*P297)  -(1-0.002516*L297)^2*2117*COS(2*Q297-P297) +(1-0.002516*L297)^2*2354*COS(2*R297+2*Q297-P297) -1423*COS(4*R297+P297) -1117*COS(4*P297) -(1-0.002516*L297)*1571*COS(4*R297-Q297)  -1739*COS(R297-2*P297) -4421*COS(2*P297-2*S297) +(1-0.002516*L297)^2*1165*COS(2*Q297+P297) +8752*COS(2*R297-P297-2*S297))/1000</f>
        <v>387428.461622192</v>
      </c>
      <c r="AV297" s="54" t="n">
        <f aca="false">ATAN(0.99664719*TAN($A$10*input!$E$2))</f>
        <v>0.871010436227447</v>
      </c>
      <c r="AW297" s="54" t="n">
        <f aca="false">COS(AV297)</f>
        <v>0.644053912545845</v>
      </c>
      <c r="AX297" s="54" t="n">
        <f aca="false">0.99664719*SIN(AV297)</f>
        <v>0.762415269897027</v>
      </c>
      <c r="AY297" s="54" t="n">
        <f aca="false">6378.14/AU297</f>
        <v>0.0164627554033957</v>
      </c>
      <c r="AZ297" s="55" t="n">
        <f aca="false">M297-15*AH297</f>
        <v>-134.361990766379</v>
      </c>
      <c r="BA297" s="56" t="n">
        <f aca="false">COS($A$10*AG297)*SIN($A$10*AZ297)</f>
        <v>-0.713462935396763</v>
      </c>
      <c r="BB297" s="56" t="n">
        <f aca="false">COS($A$10*AG297)*COS($A$10*AZ297)-AW297*AY297</f>
        <v>-0.708350844210156</v>
      </c>
      <c r="BC297" s="56" t="n">
        <f aca="false">SIN($A$10*AG297)-AX297*AY297</f>
        <v>0.0516236870338214</v>
      </c>
      <c r="BD297" s="57" t="n">
        <f aca="false">SQRT(BA297^2+BB297^2+BC297^2)</f>
        <v>1.00670516227005</v>
      </c>
      <c r="BE297" s="58" t="n">
        <f aca="false">AU297*BD297</f>
        <v>390026.232325405</v>
      </c>
    </row>
    <row r="298" customFormat="false" ht="15" hidden="false" customHeight="false" outlineLevel="0" collapsed="false">
      <c r="D298" s="41" t="n">
        <f aca="false">K298-INT(275*E298/9)+IF($A$8="common year",2,1)*INT((E298+9)/12)+30</f>
        <v>24</v>
      </c>
      <c r="E298" s="41" t="n">
        <f aca="false">IF(K298&lt;32,1,INT(9*(IF($A$8="common year",2,1)+K298)/275+0.98))</f>
        <v>10</v>
      </c>
      <c r="F298" s="42" t="n">
        <f aca="false">AM298</f>
        <v>-34.7191570254251</v>
      </c>
      <c r="G298" s="60" t="n">
        <f aca="false">F298+1.02/(TAN($A$10*(F298+10.3/(F298+5.11)))*60)</f>
        <v>-34.7433751968822</v>
      </c>
      <c r="H298" s="43" t="n">
        <f aca="false">100*(1+COS($A$10*AQ298))/2</f>
        <v>2.57005862321829</v>
      </c>
      <c r="I298" s="43" t="n">
        <f aca="false">IF(AI298&gt;180,AT298-180,AT298+180)</f>
        <v>43.6169812202613</v>
      </c>
      <c r="J298" s="61" t="n">
        <f aca="false">$J$2+K297</f>
        <v>2459876.5</v>
      </c>
      <c r="K298" s="21" t="n">
        <v>297</v>
      </c>
      <c r="L298" s="62" t="n">
        <f aca="false">(J298-2451545)/36525</f>
        <v>0.228104038329911</v>
      </c>
      <c r="M298" s="63" t="n">
        <f aca="false">MOD(280.46061837+360.98564736629*(J298-2451545)+0.000387933*L298^2-L298^3/38710000+$B$7,360)</f>
        <v>47.3816707991064</v>
      </c>
      <c r="N298" s="30" t="n">
        <f aca="false">0.606433+1336.855225*L298 - INT(0.606433+1336.855225*L298)</f>
        <v>0.548508484941806</v>
      </c>
      <c r="O298" s="35" t="n">
        <f aca="false">22640*SIN(P298)-4586*SIN(P298-2*R298)+2370*SIN(2*R298)+769*SIN(2*P298)-668*SIN(Q298)-412*SIN(2*S298)-212*SIN(2*P298-2*R298)-206*SIN(P298+Q298-2*R298)+192*SIN(P298+2*R298)-165*SIN(Q298-2*R298)-125*SIN(R298)-110*SIN(P298+Q298)+148*SIN(P298-Q298)-55*SIN(2*S298-2*R298)</f>
        <v>-18369.3343294154</v>
      </c>
      <c r="P298" s="32" t="n">
        <f aca="false">2*PI()*(0.374897+1325.55241*L298 - INT(0.374897+1325.55241*L298))</f>
        <v>4.64173292135408</v>
      </c>
      <c r="Q298" s="36" t="n">
        <f aca="false">2*PI()*(0.993133+99.997361*L298 - INT(0.993133+99.997361*L298))</f>
        <v>5.0449885554</v>
      </c>
      <c r="R298" s="36" t="n">
        <f aca="false">2*PI()*(0.827361+1236.853086*L298 - INT(0.827361+1236.853086*L298))</f>
        <v>6.02271421038611</v>
      </c>
      <c r="S298" s="36" t="n">
        <f aca="false">2*PI()*(0.259086+1342.227825*L298 - INT(0.259086+1342.227825*L298))</f>
        <v>2.68086704053406</v>
      </c>
      <c r="T298" s="36" t="n">
        <f aca="false">S298+(O298+412*SIN(2*S298)+541*SIN(Q298))/206264.8062</f>
        <v>2.58773997788558</v>
      </c>
      <c r="U298" s="36" t="n">
        <f aca="false">S298-2*R298</f>
        <v>-9.36456138023817</v>
      </c>
      <c r="V298" s="34" t="n">
        <f aca="false">-526*SIN(U298)+44*SIN(P298+U298)-31*SIN(-P298+U298)-23*SIN(Q298+U298)+11*SIN(-Q298+U298)-25*SIN(-2*P298+S298)+21*SIN(-P298+S298)</f>
        <v>62.9723384789883</v>
      </c>
      <c r="W298" s="36" t="n">
        <f aca="false">2*PI()*(N298+O298/1296000-INT(N298+O298/1296000))</f>
        <v>3.35732340749193</v>
      </c>
      <c r="X298" s="35" t="n">
        <f aca="false">W298*180/PI()</f>
        <v>192.360461709768</v>
      </c>
      <c r="Y298" s="36" t="n">
        <f aca="false">(18520*SIN(T298)+V298)/206264.8062</f>
        <v>0.0475306328603047</v>
      </c>
      <c r="Z298" s="36" t="n">
        <f aca="false">Y298*180/PI()</f>
        <v>2.72330466048128</v>
      </c>
      <c r="AA298" s="36" t="n">
        <f aca="false">COS(Y298)*COS(W298)</f>
        <v>-0.975717039503438</v>
      </c>
      <c r="AB298" s="36" t="n">
        <f aca="false">COS(Y298)*SIN(W298)</f>
        <v>-0.213819546626902</v>
      </c>
      <c r="AC298" s="36" t="n">
        <f aca="false">SIN(Y298)</f>
        <v>0.0475127383226031</v>
      </c>
      <c r="AD298" s="36" t="n">
        <f aca="false">COS($A$10*(23.4393-46.815*L298/3600))*AB298-SIN($A$10*(23.4393-46.815*L298/3600))*AC298</f>
        <v>-0.215077220231711</v>
      </c>
      <c r="AE298" s="36" t="n">
        <f aca="false">SIN($A$10*(23.4393-46.815*L298/3600))*AB298+COS($A$10*(23.4393-46.815*L298/3600))*AC298</f>
        <v>-0.041449344506835</v>
      </c>
      <c r="AF298" s="36" t="n">
        <f aca="false">SQRT(1-AE298*AE298)</f>
        <v>0.999140606641505</v>
      </c>
      <c r="AG298" s="35" t="n">
        <f aca="false">ATAN(AE298/AF298)/$A$10</f>
        <v>-2.37555305432774</v>
      </c>
      <c r="AH298" s="36" t="n">
        <f aca="false">IF(24*ATAN(AD298/(AA298+AF298))/PI()&gt;0,24*ATAN(AD298/(AA298+AF298))/PI(),24*ATAN(AD298/(AA298+AF298))/PI()+24)</f>
        <v>12.8287274227236</v>
      </c>
      <c r="AI298" s="63" t="n">
        <f aca="false">IF(M298-15*AH298&gt;0,M298-15*AH298,360+M298-15*AH298)</f>
        <v>214.950759458252</v>
      </c>
      <c r="AJ298" s="32" t="n">
        <f aca="false">0.950724+0.051818*COS(P298)+0.009531*COS(2*R298-P298)+0.007843*COS(2*R298)+0.002824*COS(2*P298)+0.000857*COS(2*R298+P298)+0.000533*COS(2*R298-Q298)*(1-0.002495*(J298-2415020)/36525)+0.000401*COS(2*R298-Q298-P298)*(1-0.002495*(J298-2415020)/36525)+0.00032*COS(P298-Q298)*(1-0.002495*(J298-2415020)/36525)-0.000271*COS(R298)</f>
        <v>0.954891369803646</v>
      </c>
      <c r="AK298" s="36" t="n">
        <f aca="false">ASIN(COS($A$10*$B$5)*COS($A$10*AG298)*COS($A$10*AI298)+SIN($A$10*$B$5)*SIN($A$10*AG298))/$A$10</f>
        <v>-33.9284173031161</v>
      </c>
      <c r="AL298" s="32" t="n">
        <f aca="false">ASIN((0.9983271+0.0016764*COS($A$10*2*$B$5))*COS($A$10*AK298)*SIN($A$10*AJ298))/$A$10</f>
        <v>0.790739722309007</v>
      </c>
      <c r="AM298" s="32" t="n">
        <f aca="false">AK298-AL298</f>
        <v>-34.7191570254251</v>
      </c>
      <c r="AN298" s="35" t="n">
        <f aca="false"> MOD(280.4664567 + 360007.6982779*L298/10 + 0.03032028*L298^2/100 + L298^3/49931000,360)</f>
        <v>212.387453180836</v>
      </c>
      <c r="AO298" s="32" t="n">
        <f aca="false"> AN298 + (1.9146 - 0.004817*L298 - 0.000014*L298^2)*SIN(Q298)+ (0.019993 - 0.000101*L298)*SIN(2*Q298)+ 0.00029*SIN(3*Q298)</f>
        <v>210.566650134973</v>
      </c>
      <c r="AP298" s="32" t="n">
        <f aca="false">ACOS(COS(W298-$A$10*AO298)*COS(Y298))/$A$10</f>
        <v>18.4019113323925</v>
      </c>
      <c r="AQ298" s="34" t="n">
        <f aca="false">180 - AP298 -0.1468*(1-0.0549*SIN(Q298))*SIN($A$10*AP298)/(1-0.0167*SIN($A$10*AO298))</f>
        <v>161.549752500242</v>
      </c>
      <c r="AR298" s="64" t="n">
        <f aca="false">SIN($A$10*AI298)</f>
        <v>-0.572872237506796</v>
      </c>
      <c r="AS298" s="64" t="n">
        <f aca="false">COS($A$10*AI298)*SIN($A$10*$B$5) - TAN($A$10*AG298)*COS($A$10*$B$5)</f>
        <v>-0.601218209833138</v>
      </c>
      <c r="AT298" s="24" t="n">
        <f aca="false">IF(OR(AND(AR298*AS298&gt;0), AND(AR298&lt;0,AS298&gt;0)), MOD(ATAN2(AS298,AR298)/$A$10+360,360),  ATAN2(AS298,AR298)/$A$10)</f>
        <v>223.616981220261</v>
      </c>
      <c r="AU298" s="39" t="n">
        <f aca="false"> 385000.56 + (-20905355*COS(P298) - 3699111*COS(2*R298-P298) - 2955968*COS(2*R298) - 569925*COS(2*P298) + (1-0.002516*L298)*48888*COS(Q298) - 3149*COS(2*S298)  +246158*COS(2*R298-2*P298) -(1 - 0.002516*L298)*152138*COS(2*R298-Q298-P298) -170733*COS(2*R298+P298) -(1 - 0.002516*L298)*204586*COS(2*R298-Q298) -(1 - 0.002516*L298)*129620*COS(Q298-P298)  + 108743*COS(R298) +(1-0.002516*L298)*104755*COS(Q298+P298) +10321*COS(2*R298-2*S298) +79661*COS(P298-2*S298) -34782*COS(4*R298-P298) -23210*COS(3*P298)  -21636*COS(4*R298-2*P298) +(1 - 0.002516*L298)*24208*COS(2*R298+Q298-P298) +(1 - 0.002516*L298)*30824*COS(2*R298+Q298) -8379*COS(R298-P298) -(1 - 0.002516*L298)*16675*COS(R298+Q298)  -(1 - 0.002516*L298)*12831*COS(2*R298-Q298+P298) -10445*COS(2*R298+2*P298) -11650*COS(4*R298) +14403*COS(2*R298-3*P298) -(1-0.002516*L298)*7003*COS(Q298-2*P298)  + (1 - 0.002516*L298)*10056*COS(2*R298-Q298-2*P298) +6322*COS(R298+P298) -(1 - 0.002516*L298)*(1-0.002516*L298)*9884*COS(2*R298-2*Q298) +(1-0.002516*L298)*5751*COS(Q298+2*P298) - (1-0.002516*L298)^2*4950*COS(2*R298-2*Q298-P298)  +4130*COS(2*R298+P298-2*S298) -(1-0.002516*L298)*3958*COS(4*R298-Q298-P298) +3258*COS(3*R298-P298) +(1 - 0.002516*L298)*2616*COS(2*R298+Q298+P298) -(1 - 0.002516*L298)*1897*COS(4*R298-Q298-2*P298)  -(1-0.002516*L298)^2*2117*COS(2*Q298-P298) +(1-0.002516*L298)^2*2354*COS(2*R298+2*Q298-P298) -1423*COS(4*R298+P298) -1117*COS(4*P298) -(1-0.002516*L298)*1571*COS(4*R298-Q298)  -1739*COS(R298-2*P298) -4421*COS(2*P298-2*S298) +(1-0.002516*L298)^2*1165*COS(2*Q298+P298) +8752*COS(2*R298-P298-2*S298))/1000</f>
        <v>382644.337384136</v>
      </c>
      <c r="AV298" s="54" t="n">
        <f aca="false">ATAN(0.99664719*TAN($A$10*input!$E$2))</f>
        <v>0.871010436227447</v>
      </c>
      <c r="AW298" s="54" t="n">
        <f aca="false">COS(AV298)</f>
        <v>0.644053912545845</v>
      </c>
      <c r="AX298" s="54" t="n">
        <f aca="false">0.99664719*SIN(AV298)</f>
        <v>0.762415269897027</v>
      </c>
      <c r="AY298" s="54" t="n">
        <f aca="false">6378.14/AU298</f>
        <v>0.0166685858821347</v>
      </c>
      <c r="AZ298" s="55" t="n">
        <f aca="false">M298-15*AH298</f>
        <v>-145.049240541748</v>
      </c>
      <c r="BA298" s="56" t="n">
        <f aca="false">COS($A$10*AG298)*SIN($A$10*AZ298)</f>
        <v>-0.572379914910615</v>
      </c>
      <c r="BB298" s="56" t="n">
        <f aca="false">COS($A$10*AG298)*COS($A$10*AZ298)-AW298*AY298</f>
        <v>-0.829675749566074</v>
      </c>
      <c r="BC298" s="56" t="n">
        <f aca="false">SIN($A$10*AG298)-AX298*AY298</f>
        <v>-0.0541577289109645</v>
      </c>
      <c r="BD298" s="57" t="n">
        <f aca="false">SQRT(BA298^2+BB298^2+BC298^2)</f>
        <v>1.00941254005085</v>
      </c>
      <c r="BE298" s="58" t="n">
        <f aca="false">AU298*BD298</f>
        <v>386245.992534994</v>
      </c>
    </row>
    <row r="299" customFormat="false" ht="15" hidden="false" customHeight="false" outlineLevel="0" collapsed="false">
      <c r="D299" s="41" t="n">
        <f aca="false">K299-INT(275*E299/9)+IF($A$8="common year",2,1)*INT((E299+9)/12)+30</f>
        <v>25</v>
      </c>
      <c r="E299" s="41" t="n">
        <f aca="false">IF(K299&lt;32,1,INT(9*(IF($A$8="common year",2,1)+K299)/275+0.98))</f>
        <v>10</v>
      </c>
      <c r="F299" s="42" t="n">
        <f aca="false">AM299</f>
        <v>-44.6841253674013</v>
      </c>
      <c r="G299" s="60" t="n">
        <f aca="false">F299+1.02/(TAN($A$10*(F299+10.3/(F299+5.11)))*60)</f>
        <v>-44.7011583952816</v>
      </c>
      <c r="H299" s="43" t="n">
        <f aca="false">100*(1+COS($A$10*AQ299))/2</f>
        <v>0.272017686489134</v>
      </c>
      <c r="I299" s="43" t="n">
        <f aca="false">IF(AI299&gt;180,AT299-180,AT299+180)</f>
        <v>33.7646575626262</v>
      </c>
      <c r="J299" s="61" t="n">
        <f aca="false">$J$2+K298</f>
        <v>2459877.5</v>
      </c>
      <c r="K299" s="21" t="n">
        <v>298</v>
      </c>
      <c r="L299" s="62" t="n">
        <f aca="false">(J299-2451545)/36525</f>
        <v>0.228131416837782</v>
      </c>
      <c r="M299" s="63" t="n">
        <f aca="false">MOD(280.46061837+360.98564736629*(J299-2451545)+0.000387933*L299^2-L299^3/38710000+$B$7,360)</f>
        <v>48.3673181706108</v>
      </c>
      <c r="N299" s="30" t="n">
        <f aca="false">0.606433+1336.855225*L299 - INT(0.606433+1336.855225*L299)</f>
        <v>0.585109586242311</v>
      </c>
      <c r="O299" s="35" t="n">
        <f aca="false">22640*SIN(P299)-4586*SIN(P299-2*R299)+2370*SIN(2*R299)+769*SIN(2*P299)-668*SIN(Q299)-412*SIN(2*S299)-212*SIN(2*P299-2*R299)-206*SIN(P299+Q299-2*R299)+192*SIN(P299+2*R299)-165*SIN(Q299-2*R299)-125*SIN(R299)-110*SIN(P299+Q299)+148*SIN(P299-Q299)-55*SIN(2*S299-2*R299)</f>
        <v>-17364.2138723991</v>
      </c>
      <c r="P299" s="32" t="n">
        <f aca="false">2*PI()*(0.374897+1325.55241*L299 - INT(0.374897+1325.55241*L299))</f>
        <v>4.8697600651299</v>
      </c>
      <c r="Q299" s="36" t="n">
        <f aca="false">2*PI()*(0.993133+99.997361*L299 - INT(0.993133+99.997361*L299))</f>
        <v>5.06219052526699</v>
      </c>
      <c r="R299" s="36" t="n">
        <f aca="false">2*PI()*(0.827361+1236.853086*L299 - INT(0.827361+1236.853086*L299))</f>
        <v>6.23548292050514</v>
      </c>
      <c r="S299" s="36" t="n">
        <f aca="false">2*PI()*(0.259086+1342.227825*L299 - INT(0.259086+1342.227825*L299))</f>
        <v>2.91176275987506</v>
      </c>
      <c r="T299" s="36" t="n">
        <f aca="false">S299+(O299+412*SIN(2*S299)+541*SIN(Q299))/206264.8062</f>
        <v>2.82422852337779</v>
      </c>
      <c r="U299" s="36" t="n">
        <f aca="false">S299-2*R299</f>
        <v>-9.55920308113521</v>
      </c>
      <c r="V299" s="34" t="n">
        <f aca="false">-526*SIN(U299)+44*SIN(P299+U299)-31*SIN(-P299+U299)-23*SIN(Q299+U299)+11*SIN(-Q299+U299)-25*SIN(-2*P299+S299)+21*SIN(-P299+S299)</f>
        <v>-35.514904297341</v>
      </c>
      <c r="W299" s="36" t="n">
        <f aca="false">2*PI()*(N299+O299/1296000-INT(N299+O299/1296000))</f>
        <v>3.5921678708971</v>
      </c>
      <c r="X299" s="35" t="n">
        <f aca="false">W299*180/PI()</f>
        <v>205.816058304899</v>
      </c>
      <c r="Y299" s="36" t="n">
        <f aca="false">(18520*SIN(T299)+V299)/206264.8062</f>
        <v>0.027847210344021</v>
      </c>
      <c r="Z299" s="36" t="n">
        <f aca="false">Y299*180/PI()</f>
        <v>1.59552762392545</v>
      </c>
      <c r="AA299" s="36" t="n">
        <f aca="false">COS(Y299)*COS(W299)</f>
        <v>-0.899847739756637</v>
      </c>
      <c r="AB299" s="36" t="n">
        <f aca="false">COS(Y299)*SIN(W299)</f>
        <v>-0.435314574256315</v>
      </c>
      <c r="AC299" s="36" t="n">
        <f aca="false">SIN(Y299)</f>
        <v>0.0278436113842151</v>
      </c>
      <c r="AD299" s="36" t="n">
        <f aca="false">COS($A$10*(23.4393-46.815*L299/3600))*AB299-SIN($A$10*(23.4393-46.815*L299/3600))*AC299</f>
        <v>-0.410476485395704</v>
      </c>
      <c r="AE299" s="36" t="n">
        <f aca="false">SIN($A$10*(23.4393-46.815*L299/3600))*AB299+COS($A$10*(23.4393-46.815*L299/3600))*AC299</f>
        <v>-0.14759098953548</v>
      </c>
      <c r="AF299" s="36" t="n">
        <f aca="false">SQRT(1-AE299*AE299)</f>
        <v>0.989048482031057</v>
      </c>
      <c r="AG299" s="35" t="n">
        <f aca="false">ATAN(AE299/AF299)/$A$10</f>
        <v>-8.48734658407194</v>
      </c>
      <c r="AH299" s="36" t="n">
        <f aca="false">IF(24*ATAN(AD299/(AA299+AF299))/PI()&gt;0,24*ATAN(AD299/(AA299+AF299))/PI(),24*ATAN(AD299/(AA299+AF299))/PI()+24)</f>
        <v>13.6347117911178</v>
      </c>
      <c r="AI299" s="63" t="n">
        <f aca="false">IF(M299-15*AH299&gt;0,M299-15*AH299,360+M299-15*AH299)</f>
        <v>203.846641303844</v>
      </c>
      <c r="AJ299" s="32" t="n">
        <f aca="false">0.950724+0.051818*COS(P299)+0.009531*COS(2*R299-P299)+0.007843*COS(2*R299)+0.002824*COS(2*P299)+0.000857*COS(2*R299+P299)+0.000533*COS(2*R299-Q299)*(1-0.002495*(J299-2415020)/36525)+0.000401*COS(2*R299-Q299-P299)*(1-0.002495*(J299-2415020)/36525)+0.00032*COS(P299-Q299)*(1-0.002495*(J299-2415020)/36525)-0.000271*COS(R299)</f>
        <v>0.966345706289987</v>
      </c>
      <c r="AK299" s="36" t="n">
        <f aca="false">ASIN(COS($A$10*$B$5)*COS($A$10*AG299)*COS($A$10*AI299)+SIN($A$10*$B$5)*SIN($A$10*AG299))/$A$10</f>
        <v>-43.9902617565142</v>
      </c>
      <c r="AL299" s="32" t="n">
        <f aca="false">ASIN((0.9983271+0.0016764*COS($A$10*2*$B$5))*COS($A$10*AK299)*SIN($A$10*AJ299))/$A$10</f>
        <v>0.6938636108871</v>
      </c>
      <c r="AM299" s="32" t="n">
        <f aca="false">AK299-AL299</f>
        <v>-44.6841253674013</v>
      </c>
      <c r="AN299" s="35" t="n">
        <f aca="false"> MOD(280.4664567 + 360007.6982779*L299/10 + 0.03032028*L299^2/100 + L299^3/49931000,360)</f>
        <v>213.373100544726</v>
      </c>
      <c r="AO299" s="32" t="n">
        <f aca="false"> AN299 + (1.9146 - 0.004817*L299 - 0.000014*L299^2)*SIN(Q299)+ (0.019993 - 0.000101*L299)*SIN(2*Q299)+ 0.00029*SIN(3*Q299)</f>
        <v>211.56276584843</v>
      </c>
      <c r="AP299" s="32" t="n">
        <f aca="false">ACOS(COS(W299-$A$10*AO299)*COS(Y299))/$A$10</f>
        <v>5.96337264549327</v>
      </c>
      <c r="AQ299" s="34" t="n">
        <f aca="false">180 - AP299 -0.1468*(1-0.0549*SIN(Q299))*SIN($A$10*AP299)/(1-0.0167*SIN($A$10*AO299))</f>
        <v>174.020728290669</v>
      </c>
      <c r="AR299" s="64" t="n">
        <f aca="false">SIN($A$10*AI299)</f>
        <v>-0.404289980282021</v>
      </c>
      <c r="AS299" s="64" t="n">
        <f aca="false">COS($A$10*AI299)*SIN($A$10*$B$5) - TAN($A$10*AG299)*COS($A$10*$B$5)</f>
        <v>-0.60472775814671</v>
      </c>
      <c r="AT299" s="24" t="n">
        <f aca="false">IF(OR(AND(AR299*AS299&gt;0), AND(AR299&lt;0,AS299&gt;0)), MOD(ATAN2(AS299,AR299)/$A$10+360,360),  ATAN2(AS299,AR299)/$A$10)</f>
        <v>213.764657562626</v>
      </c>
      <c r="AU299" s="39" t="n">
        <f aca="false"> 385000.56 + (-20905355*COS(P299) - 3699111*COS(2*R299-P299) - 2955968*COS(2*R299) - 569925*COS(2*P299) + (1-0.002516*L299)*48888*COS(Q299) - 3149*COS(2*S299)  +246158*COS(2*R299-2*P299) -(1 - 0.002516*L299)*152138*COS(2*R299-Q299-P299) -170733*COS(2*R299+P299) -(1 - 0.002516*L299)*204586*COS(2*R299-Q299) -(1 - 0.002516*L299)*129620*COS(Q299-P299)  + 108743*COS(R299) +(1-0.002516*L299)*104755*COS(Q299+P299) +10321*COS(2*R299-2*S299) +79661*COS(P299-2*S299) -34782*COS(4*R299-P299) -23210*COS(3*P299)  -21636*COS(4*R299-2*P299) +(1 - 0.002516*L299)*24208*COS(2*R299+Q299-P299) +(1 - 0.002516*L299)*30824*COS(2*R299+Q299) -8379*COS(R299-P299) -(1 - 0.002516*L299)*16675*COS(R299+Q299)  -(1 - 0.002516*L299)*12831*COS(2*R299-Q299+P299) -10445*COS(2*R299+2*P299) -11650*COS(4*R299) +14403*COS(2*R299-3*P299) -(1-0.002516*L299)*7003*COS(Q299-2*P299)  + (1 - 0.002516*L299)*10056*COS(2*R299-Q299-2*P299) +6322*COS(R299+P299) -(1 - 0.002516*L299)*(1-0.002516*L299)*9884*COS(2*R299-2*Q299) +(1-0.002516*L299)*5751*COS(Q299+2*P299) - (1-0.002516*L299)^2*4950*COS(2*R299-2*Q299-P299)  +4130*COS(2*R299+P299-2*S299) -(1-0.002516*L299)*3958*COS(4*R299-Q299-P299) +3258*COS(3*R299-P299) +(1 - 0.002516*L299)*2616*COS(2*R299+Q299+P299) -(1 - 0.002516*L299)*1897*COS(4*R299-Q299-2*P299)  -(1-0.002516*L299)^2*2117*COS(2*Q299-P299) +(1-0.002516*L299)^2*2354*COS(2*R299+2*Q299-P299) -1423*COS(4*R299+P299) -1117*COS(4*P299) -(1-0.002516*L299)*1571*COS(4*R299-Q299)  -1739*COS(R299-2*P299) -4421*COS(2*P299-2*S299) +(1-0.002516*L299)^2*1165*COS(2*Q299+P299) +8752*COS(2*R299-P299-2*S299))/1000</f>
        <v>378187.391599323</v>
      </c>
      <c r="AV299" s="54" t="n">
        <f aca="false">ATAN(0.99664719*TAN($A$10*input!$E$2))</f>
        <v>0.871010436227447</v>
      </c>
      <c r="AW299" s="54" t="n">
        <f aca="false">COS(AV299)</f>
        <v>0.644053912545845</v>
      </c>
      <c r="AX299" s="54" t="n">
        <f aca="false">0.99664719*SIN(AV299)</f>
        <v>0.762415269897027</v>
      </c>
      <c r="AY299" s="54" t="n">
        <f aca="false">6378.14/AU299</f>
        <v>0.0168650254918002</v>
      </c>
      <c r="AZ299" s="55" t="n">
        <f aca="false">M299-15*AH299</f>
        <v>-156.153358696156</v>
      </c>
      <c r="BA299" s="56" t="n">
        <f aca="false">COS($A$10*AG299)*SIN($A$10*AZ299)</f>
        <v>-0.399862391298298</v>
      </c>
      <c r="BB299" s="56" t="n">
        <f aca="false">COS($A$10*AG299)*COS($A$10*AZ299)-AW299*AY299</f>
        <v>-0.915476250316934</v>
      </c>
      <c r="BC299" s="56" t="n">
        <f aca="false">SIN($A$10*AG299)-AX299*AY299</f>
        <v>-0.160449142497631</v>
      </c>
      <c r="BD299" s="57" t="n">
        <f aca="false">SQRT(BA299^2+BB299^2+BC299^2)</f>
        <v>1.01179574233013</v>
      </c>
      <c r="BE299" s="58" t="n">
        <f aca="false">AU299*BD299</f>
        <v>382648.392623131</v>
      </c>
    </row>
    <row r="300" customFormat="false" ht="15" hidden="false" customHeight="false" outlineLevel="0" collapsed="false">
      <c r="D300" s="41" t="n">
        <f aca="false">K300-INT(275*E300/9)+IF($A$8="common year",2,1)*INT((E300+9)/12)+30</f>
        <v>26</v>
      </c>
      <c r="E300" s="41" t="n">
        <f aca="false">IF(K300&lt;32,1,INT(9*(IF($A$8="common year",2,1)+K300)/275+0.98))</f>
        <v>10</v>
      </c>
      <c r="F300" s="42" t="n">
        <f aca="false">AM300</f>
        <v>-53.6008707137226</v>
      </c>
      <c r="G300" s="60" t="n">
        <f aca="false">F300+1.02/(TAN($A$10*(F300+10.3/(F300+5.11)))*60)</f>
        <v>-53.6133067821602</v>
      </c>
      <c r="H300" s="43" t="n">
        <f aca="false">100*(1+COS($A$10*AQ300))/2</f>
        <v>0.377029471709323</v>
      </c>
      <c r="I300" s="43" t="n">
        <f aca="false">IF(AI300&gt;180,AT300-180,AT300+180)</f>
        <v>19.671498863703</v>
      </c>
      <c r="J300" s="61" t="n">
        <f aca="false">$J$2+K299</f>
        <v>2459878.5</v>
      </c>
      <c r="K300" s="21" t="n">
        <v>299</v>
      </c>
      <c r="L300" s="62" t="n">
        <f aca="false">(J300-2451545)/36525</f>
        <v>0.228158795345654</v>
      </c>
      <c r="M300" s="63" t="n">
        <f aca="false">MOD(280.46061837+360.98564736629*(J300-2451545)+0.000387933*L300^2-L300^3/38710000+$B$7,360)</f>
        <v>49.3529655416496</v>
      </c>
      <c r="N300" s="30" t="n">
        <f aca="false">0.606433+1336.855225*L300 - INT(0.606433+1336.855225*L300)</f>
        <v>0.621710687542759</v>
      </c>
      <c r="O300" s="35" t="n">
        <f aca="false">22640*SIN(P300)-4586*SIN(P300-2*R300)+2370*SIN(2*R300)+769*SIN(2*P300)-668*SIN(Q300)-412*SIN(2*S300)-212*SIN(2*P300-2*R300)-206*SIN(P300+Q300-2*R300)+192*SIN(P300+2*R300)-165*SIN(Q300-2*R300)-125*SIN(R300)-110*SIN(P300+Q300)+148*SIN(P300-Q300)-55*SIN(2*S300-2*R300)</f>
        <v>-15275.2785015437</v>
      </c>
      <c r="P300" s="32" t="n">
        <f aca="false">2*PI()*(0.374897+1325.55241*L300 - INT(0.374897+1325.55241*L300))</f>
        <v>5.09778720890572</v>
      </c>
      <c r="Q300" s="36" t="n">
        <f aca="false">2*PI()*(0.993133+99.997361*L300 - INT(0.993133+99.997361*L300))</f>
        <v>5.079392495134</v>
      </c>
      <c r="R300" s="36" t="n">
        <f aca="false">2*PI()*(0.827361+1236.853086*L300 - INT(0.827361+1236.853086*L300))</f>
        <v>0.165066323444575</v>
      </c>
      <c r="S300" s="36" t="n">
        <f aca="false">2*PI()*(0.259086+1342.227825*L300 - INT(0.259086+1342.227825*L300))</f>
        <v>3.14265847921571</v>
      </c>
      <c r="T300" s="36" t="n">
        <f aca="false">S300+(O300+412*SIN(2*S300)+541*SIN(Q300))/206264.8062</f>
        <v>3.06615791862324</v>
      </c>
      <c r="U300" s="36" t="n">
        <f aca="false">S300-2*R300</f>
        <v>2.81252583232656</v>
      </c>
      <c r="V300" s="34" t="n">
        <f aca="false">-526*SIN(U300)+44*SIN(P300+U300)-31*SIN(-P300+U300)-23*SIN(Q300+U300)+11*SIN(-Q300+U300)-25*SIN(-2*P300+S300)+21*SIN(-P300+S300)</f>
        <v>-136.127204603701</v>
      </c>
      <c r="W300" s="36" t="n">
        <f aca="false">2*PI()*(N300+O300/1296000-INT(N300+O300/1296000))</f>
        <v>3.83226681728211</v>
      </c>
      <c r="X300" s="35" t="n">
        <f aca="false">W300*180/PI()</f>
        <v>219.572714598298</v>
      </c>
      <c r="Y300" s="36" t="n">
        <f aca="false">(18520*SIN(T300)+V300)/206264.8062</f>
        <v>0.00610671070766707</v>
      </c>
      <c r="Z300" s="36" t="n">
        <f aca="false">Y300*180/PI()</f>
        <v>0.349888750256671</v>
      </c>
      <c r="AA300" s="36" t="n">
        <f aca="false">COS(Y300)*COS(W300)</f>
        <v>-0.770802336936977</v>
      </c>
      <c r="AB300" s="36" t="n">
        <f aca="false">COS(Y300)*SIN(W300)</f>
        <v>-0.637045105090988</v>
      </c>
      <c r="AC300" s="36" t="n">
        <f aca="false">SIN(Y300)</f>
        <v>0.00610667275258105</v>
      </c>
      <c r="AD300" s="36" t="n">
        <f aca="false">COS($A$10*(23.4393-46.815*L300/3600))*AB300-SIN($A$10*(23.4393-46.815*L300/3600))*AC300</f>
        <v>-0.586919344423774</v>
      </c>
      <c r="AE300" s="36" t="n">
        <f aca="false">SIN($A$10*(23.4393-46.815*L300/3600))*AB300+COS($A$10*(23.4393-46.815*L300/3600))*AC300</f>
        <v>-0.247768925641741</v>
      </c>
      <c r="AF300" s="36" t="n">
        <f aca="false">SQRT(1-AE300*AE300)</f>
        <v>0.968819157266379</v>
      </c>
      <c r="AG300" s="35" t="n">
        <f aca="false">ATAN(AE300/AF300)/$A$10</f>
        <v>-14.3455278814392</v>
      </c>
      <c r="AH300" s="36" t="n">
        <f aca="false">IF(24*ATAN(AD300/(AA300+AF300))/PI()&gt;0,24*ATAN(AD300/(AA300+AF300))/PI(),24*ATAN(AD300/(AA300+AF300))/PI()+24)</f>
        <v>14.4858051920827</v>
      </c>
      <c r="AI300" s="63" t="n">
        <f aca="false">IF(M300-15*AH300&gt;0,M300-15*AH300,360+M300-15*AH300)</f>
        <v>192.065887660409</v>
      </c>
      <c r="AJ300" s="32" t="n">
        <f aca="false">0.950724+0.051818*COS(P300)+0.009531*COS(2*R300-P300)+0.007843*COS(2*R300)+0.002824*COS(2*P300)+0.000857*COS(2*R300+P300)+0.000533*COS(2*R300-Q300)*(1-0.002495*(J300-2415020)/36525)+0.000401*COS(2*R300-Q300-P300)*(1-0.002495*(J300-2415020)/36525)+0.00032*COS(P300-Q300)*(1-0.002495*(J300-2415020)/36525)-0.000271*COS(R300)</f>
        <v>0.976392762683524</v>
      </c>
      <c r="AK300" s="36" t="n">
        <f aca="false">ASIN(COS($A$10*$B$5)*COS($A$10*AG300)*COS($A$10*AI300)+SIN($A$10*$B$5)*SIN($A$10*AG300))/$A$10</f>
        <v>-53.014633882389</v>
      </c>
      <c r="AL300" s="32" t="n">
        <f aca="false">ASIN((0.9983271+0.0016764*COS($A$10*2*$B$5))*COS($A$10*AK300)*SIN($A$10*AJ300))/$A$10</f>
        <v>0.586236831333644</v>
      </c>
      <c r="AM300" s="32" t="n">
        <f aca="false">AK300-AL300</f>
        <v>-53.6008707137226</v>
      </c>
      <c r="AN300" s="35" t="n">
        <f aca="false"> MOD(280.4664567 + 360007.6982779*L300/10 + 0.03032028*L300^2/100 + L300^3/49931000,360)</f>
        <v>214.358747908616</v>
      </c>
      <c r="AO300" s="32" t="n">
        <f aca="false"> AN300 + (1.9146 - 0.004817*L300 - 0.000014*L300^2)*SIN(Q300)+ (0.019993 - 0.000101*L300)*SIN(2*Q300)+ 0.00029*SIN(3*Q300)</f>
        <v>212.559428311281</v>
      </c>
      <c r="AP300" s="32" t="n">
        <f aca="false">ACOS(COS(W300-$A$10*AO300)*COS(Y300))/$A$10</f>
        <v>7.02196515602486</v>
      </c>
      <c r="AQ300" s="34" t="n">
        <f aca="false">180 - AP300 -0.1468*(1-0.0549*SIN(Q300))*SIN($A$10*AP300)/(1-0.0167*SIN($A$10*AO300))</f>
        <v>172.95933697499</v>
      </c>
      <c r="AR300" s="64" t="n">
        <f aca="false">SIN($A$10*AI300)</f>
        <v>-0.209036380398214</v>
      </c>
      <c r="AS300" s="64" t="n">
        <f aca="false">COS($A$10*AI300)*SIN($A$10*$B$5) - TAN($A$10*AG300)*COS($A$10*$B$5)</f>
        <v>-0.584732315964493</v>
      </c>
      <c r="AT300" s="24" t="n">
        <f aca="false">IF(OR(AND(AR300*AS300&gt;0), AND(AR300&lt;0,AS300&gt;0)), MOD(ATAN2(AS300,AR300)/$A$10+360,360),  ATAN2(AS300,AR300)/$A$10)</f>
        <v>199.671498863703</v>
      </c>
      <c r="AU300" s="39" t="n">
        <f aca="false"> 385000.56 + (-20905355*COS(P300) - 3699111*COS(2*R300-P300) - 2955968*COS(2*R300) - 569925*COS(2*P300) + (1-0.002516*L300)*48888*COS(Q300) - 3149*COS(2*S300)  +246158*COS(2*R300-2*P300) -(1 - 0.002516*L300)*152138*COS(2*R300-Q300-P300) -170733*COS(2*R300+P300) -(1 - 0.002516*L300)*204586*COS(2*R300-Q300) -(1 - 0.002516*L300)*129620*COS(Q300-P300)  + 108743*COS(R300) +(1-0.002516*L300)*104755*COS(Q300+P300) +10321*COS(2*R300-2*S300) +79661*COS(P300-2*S300) -34782*COS(4*R300-P300) -23210*COS(3*P300)  -21636*COS(4*R300-2*P300) +(1 - 0.002516*L300)*24208*COS(2*R300+Q300-P300) +(1 - 0.002516*L300)*30824*COS(2*R300+Q300) -8379*COS(R300-P300) -(1 - 0.002516*L300)*16675*COS(R300+Q300)  -(1 - 0.002516*L300)*12831*COS(2*R300-Q300+P300) -10445*COS(2*R300+2*P300) -11650*COS(4*R300) +14403*COS(2*R300-3*P300) -(1-0.002516*L300)*7003*COS(Q300-2*P300)  + (1 - 0.002516*L300)*10056*COS(2*R300-Q300-2*P300) +6322*COS(R300+P300) -(1 - 0.002516*L300)*(1-0.002516*L300)*9884*COS(2*R300-2*Q300) +(1-0.002516*L300)*5751*COS(Q300+2*P300) - (1-0.002516*L300)^2*4950*COS(2*R300-2*Q300-P300)  +4130*COS(2*R300+P300-2*S300) -(1-0.002516*L300)*3958*COS(4*R300-Q300-P300) +3258*COS(3*R300-P300) +(1 - 0.002516*L300)*2616*COS(2*R300+Q300+P300) -(1 - 0.002516*L300)*1897*COS(4*R300-Q300-2*P300)  -(1-0.002516*L300)^2*2117*COS(2*Q300-P300) +(1-0.002516*L300)^2*2354*COS(2*R300+2*Q300-P300) -1423*COS(4*R300+P300) -1117*COS(4*P300) -(1-0.002516*L300)*1571*COS(4*R300-Q300)  -1739*COS(R300-2*P300) -4421*COS(2*P300-2*S300) +(1-0.002516*L300)^2*1165*COS(2*Q300+P300) +8752*COS(2*R300-P300-2*S300))/1000</f>
        <v>374369.771007691</v>
      </c>
      <c r="AV300" s="54" t="n">
        <f aca="false">ATAN(0.99664719*TAN($A$10*input!$E$2))</f>
        <v>0.871010436227447</v>
      </c>
      <c r="AW300" s="54" t="n">
        <f aca="false">COS(AV300)</f>
        <v>0.644053912545845</v>
      </c>
      <c r="AX300" s="54" t="n">
        <f aca="false">0.99664719*SIN(AV300)</f>
        <v>0.762415269897027</v>
      </c>
      <c r="AY300" s="54" t="n">
        <f aca="false">6378.14/AU300</f>
        <v>0.017037005906839</v>
      </c>
      <c r="AZ300" s="55" t="n">
        <f aca="false">M300-15*AH300</f>
        <v>-167.934112339591</v>
      </c>
      <c r="BA300" s="56" t="n">
        <f aca="false">COS($A$10*AG300)*SIN($A$10*AZ300)</f>
        <v>-0.202518449895411</v>
      </c>
      <c r="BB300" s="56" t="n">
        <f aca="false">COS($A$10*AG300)*COS($A$10*AZ300)-AW300*AY300</f>
        <v>-0.958388623589935</v>
      </c>
      <c r="BC300" s="56" t="n">
        <f aca="false">SIN($A$10*AG300)-AX300*AY300</f>
        <v>-0.260758199098441</v>
      </c>
      <c r="BD300" s="57" t="n">
        <f aca="false">SQRT(BA300^2+BB300^2+BC300^2)</f>
        <v>1.01366528734672</v>
      </c>
      <c r="BE300" s="58" t="n">
        <f aca="false">AU300*BD300</f>
        <v>379485.641502437</v>
      </c>
    </row>
    <row r="301" customFormat="false" ht="15" hidden="false" customHeight="false" outlineLevel="0" collapsed="false">
      <c r="D301" s="41" t="n">
        <f aca="false">K301-INT(275*E301/9)+IF($A$8="common year",2,1)*INT((E301+9)/12)+30</f>
        <v>27</v>
      </c>
      <c r="E301" s="41" t="n">
        <f aca="false">IF(K301&lt;32,1,INT(9*(IF($A$8="common year",2,1)+K301)/275+0.98))</f>
        <v>10</v>
      </c>
      <c r="F301" s="42" t="n">
        <f aca="false">AM301</f>
        <v>-60.0698385657447</v>
      </c>
      <c r="G301" s="60" t="n">
        <f aca="false">F301+1.02/(TAN($A$10*(F301+10.3/(F301+5.11)))*60)</f>
        <v>-60.0795520133523</v>
      </c>
      <c r="H301" s="43" t="n">
        <f aca="false">100*(1+COS($A$10*AQ301))/2</f>
        <v>3.04472326252918</v>
      </c>
      <c r="I301" s="43" t="n">
        <f aca="false">IF(AI301&gt;180,AT301-180,AT301+180)</f>
        <v>358.865529319032</v>
      </c>
      <c r="J301" s="61" t="n">
        <f aca="false">$J$2+K300</f>
        <v>2459879.5</v>
      </c>
      <c r="K301" s="21" t="n">
        <v>300</v>
      </c>
      <c r="L301" s="62" t="n">
        <f aca="false">(J301-2451545)/36525</f>
        <v>0.228186173853525</v>
      </c>
      <c r="M301" s="63" t="n">
        <f aca="false">MOD(280.46061837+360.98564736629*(J301-2451545)+0.000387933*L301^2-L301^3/38710000+$B$7,360)</f>
        <v>50.3386129131541</v>
      </c>
      <c r="N301" s="30" t="n">
        <f aca="false">0.606433+1336.855225*L301 - INT(0.606433+1336.855225*L301)</f>
        <v>0.658311788843264</v>
      </c>
      <c r="O301" s="35" t="n">
        <f aca="false">22640*SIN(P301)-4586*SIN(P301-2*R301)+2370*SIN(2*R301)+769*SIN(2*P301)-668*SIN(Q301)-412*SIN(2*S301)-212*SIN(2*P301-2*R301)-206*SIN(P301+Q301-2*R301)+192*SIN(P301+2*R301)-165*SIN(Q301-2*R301)-125*SIN(R301)-110*SIN(P301+Q301)+148*SIN(P301-Q301)-55*SIN(2*S301-2*R301)</f>
        <v>-12279.7064483685</v>
      </c>
      <c r="P301" s="32" t="n">
        <f aca="false">2*PI()*(0.374897+1325.55241*L301 - INT(0.374897+1325.55241*L301))</f>
        <v>5.32581435268154</v>
      </c>
      <c r="Q301" s="36" t="n">
        <f aca="false">2*PI()*(0.993133+99.997361*L301 - INT(0.993133+99.997361*L301))</f>
        <v>5.09659446500098</v>
      </c>
      <c r="R301" s="36" t="n">
        <f aca="false">2*PI()*(0.827361+1236.853086*L301 - INT(0.827361+1236.853086*L301))</f>
        <v>0.377835033563599</v>
      </c>
      <c r="S301" s="36" t="n">
        <f aca="false">2*PI()*(0.259086+1342.227825*L301 - INT(0.259086+1342.227825*L301))</f>
        <v>3.37355419855671</v>
      </c>
      <c r="T301" s="36" t="n">
        <f aca="false">S301+(O301+412*SIN(2*S301)+541*SIN(Q301))/206264.8062</f>
        <v>3.3124826449955</v>
      </c>
      <c r="U301" s="36" t="n">
        <f aca="false">S301-2*R301</f>
        <v>2.61788413142951</v>
      </c>
      <c r="V301" s="34" t="n">
        <f aca="false">-526*SIN(U301)+44*SIN(P301+U301)-31*SIN(-P301+U301)-23*SIN(Q301+U301)+11*SIN(-Q301+U301)-25*SIN(-2*P301+S301)+21*SIN(-P301+S301)</f>
        <v>-234.269778184618</v>
      </c>
      <c r="W301" s="36" t="n">
        <f aca="false">2*PI()*(N301+O301/1296000-INT(N301+O301/1296000))</f>
        <v>4.07676126234133</v>
      </c>
      <c r="X301" s="35" t="n">
        <f aca="false">W301*180/PI()</f>
        <v>233.581214414584</v>
      </c>
      <c r="Y301" s="36" t="n">
        <f aca="false">(18520*SIN(T301)+V301)/206264.8062</f>
        <v>-0.0164049831957347</v>
      </c>
      <c r="Z301" s="36" t="n">
        <f aca="false">Y301*180/PI()</f>
        <v>-0.939936300098635</v>
      </c>
      <c r="AA301" s="36" t="n">
        <f aca="false">COS(Y301)*COS(W301)</f>
        <v>-0.59360287029676</v>
      </c>
      <c r="AB301" s="36" t="n">
        <f aca="false">COS(Y301)*SIN(W301)</f>
        <v>-0.80459091036589</v>
      </c>
      <c r="AC301" s="36" t="n">
        <f aca="false">SIN(Y301)</f>
        <v>-0.0164042473779589</v>
      </c>
      <c r="AD301" s="36" t="n">
        <f aca="false">COS($A$10*(23.4393-46.815*L301/3600))*AB301-SIN($A$10*(23.4393-46.815*L301/3600))*AC301</f>
        <v>-0.731689794617594</v>
      </c>
      <c r="AE301" s="36" t="n">
        <f aca="false">SIN($A$10*(23.4393-46.815*L301/3600))*AB301+COS($A$10*(23.4393-46.815*L301/3600))*AC301</f>
        <v>-0.335060706183089</v>
      </c>
      <c r="AF301" s="36" t="n">
        <f aca="false">SQRT(1-AE301*AE301)</f>
        <v>0.942196541689731</v>
      </c>
      <c r="AG301" s="35" t="n">
        <f aca="false">ATAN(AE301/AF301)/$A$10</f>
        <v>-19.576229497182</v>
      </c>
      <c r="AH301" s="36" t="n">
        <f aca="false">IF(24*ATAN(AD301/(AA301+AF301))/PI()&gt;0,24*ATAN(AD301/(AA301+AF301))/PI(),24*ATAN(AD301/(AA301+AF301))/PI()+24)</f>
        <v>15.3965590549359</v>
      </c>
      <c r="AI301" s="63" t="n">
        <f aca="false">IF(M301-15*AH301&gt;0,M301-15*AH301,360+M301-15*AH301)</f>
        <v>179.390227089116</v>
      </c>
      <c r="AJ301" s="32" t="n">
        <f aca="false">0.950724+0.051818*COS(P301)+0.009531*COS(2*R301-P301)+0.007843*COS(2*R301)+0.002824*COS(2*P301)+0.000857*COS(2*R301+P301)+0.000533*COS(2*R301-Q301)*(1-0.002495*(J301-2415020)/36525)+0.000401*COS(2*R301-Q301-P301)*(1-0.002495*(J301-2415020)/36525)+0.00032*COS(P301-Q301)*(1-0.002495*(J301-2415020)/36525)-0.000271*COS(R301)</f>
        <v>0.984276369815102</v>
      </c>
      <c r="AK301" s="36" t="n">
        <f aca="false">ASIN(COS($A$10*$B$5)*COS($A$10*AG301)*COS($A$10*AI301)+SIN($A$10*$B$5)*SIN($A$10*AG301))/$A$10</f>
        <v>-59.5723490923793</v>
      </c>
      <c r="AL301" s="32" t="n">
        <f aca="false">ASIN((0.9983271+0.0016764*COS($A$10*2*$B$5))*COS($A$10*AK301)*SIN($A$10*AJ301))/$A$10</f>
        <v>0.497489473365399</v>
      </c>
      <c r="AM301" s="32" t="n">
        <f aca="false">AK301-AL301</f>
        <v>-60.0698385657447</v>
      </c>
      <c r="AN301" s="35" t="n">
        <f aca="false"> MOD(280.4664567 + 360007.6982779*L301/10 + 0.03032028*L301^2/100 + L301^3/49931000,360)</f>
        <v>215.344395272508</v>
      </c>
      <c r="AO301" s="32" t="n">
        <f aca="false"> AN301 + (1.9146 - 0.004817*L301 - 0.000014*L301^2)*SIN(Q301)+ (0.019993 - 0.000101*L301)*SIN(2*Q301)+ 0.00029*SIN(3*Q301)</f>
        <v>213.556634754961</v>
      </c>
      <c r="AP301" s="32" t="n">
        <f aca="false">ACOS(COS(W301-$A$10*AO301)*COS(Y301))/$A$10</f>
        <v>20.0457227959184</v>
      </c>
      <c r="AQ301" s="34" t="n">
        <f aca="false">180 - AP301 -0.1468*(1-0.0549*SIN(Q301))*SIN($A$10*AP301)/(1-0.0167*SIN($A$10*AO301))</f>
        <v>159.901881156002</v>
      </c>
      <c r="AR301" s="64" t="n">
        <f aca="false">SIN($A$10*AI301)</f>
        <v>0.0106423440830878</v>
      </c>
      <c r="AS301" s="64" t="n">
        <f aca="false">COS($A$10*AI301)*SIN($A$10*$B$5) - TAN($A$10*AG301)*COS($A$10*$B$5)</f>
        <v>-0.537415133428615</v>
      </c>
      <c r="AT301" s="24" t="n">
        <f aca="false">IF(OR(AND(AR301*AS301&gt;0), AND(AR301&lt;0,AS301&gt;0)), MOD(ATAN2(AS301,AR301)/$A$10+360,360),  ATAN2(AS301,AR301)/$A$10)</f>
        <v>178.865529319032</v>
      </c>
      <c r="AU301" s="39" t="n">
        <f aca="false"> 385000.56 + (-20905355*COS(P301) - 3699111*COS(2*R301-P301) - 2955968*COS(2*R301) - 569925*COS(2*P301) + (1-0.002516*L301)*48888*COS(Q301) - 3149*COS(2*S301)  +246158*COS(2*R301-2*P301) -(1 - 0.002516*L301)*152138*COS(2*R301-Q301-P301) -170733*COS(2*R301+P301) -(1 - 0.002516*L301)*204586*COS(2*R301-Q301) -(1 - 0.002516*L301)*129620*COS(Q301-P301)  + 108743*COS(R301) +(1-0.002516*L301)*104755*COS(Q301+P301) +10321*COS(2*R301-2*S301) +79661*COS(P301-2*S301) -34782*COS(4*R301-P301) -23210*COS(3*P301)  -21636*COS(4*R301-2*P301) +(1 - 0.002516*L301)*24208*COS(2*R301+Q301-P301) +(1 - 0.002516*L301)*30824*COS(2*R301+Q301) -8379*COS(R301-P301) -(1 - 0.002516*L301)*16675*COS(R301+Q301)  -(1 - 0.002516*L301)*12831*COS(2*R301-Q301+P301) -10445*COS(2*R301+2*P301) -11650*COS(4*R301) +14403*COS(2*R301-3*P301) -(1-0.002516*L301)*7003*COS(Q301-2*P301)  + (1 - 0.002516*L301)*10056*COS(2*R301-Q301-2*P301) +6322*COS(R301+P301) -(1 - 0.002516*L301)*(1-0.002516*L301)*9884*COS(2*R301-2*Q301) +(1-0.002516*L301)*5751*COS(Q301+2*P301) - (1-0.002516*L301)^2*4950*COS(2*R301-2*Q301-P301)  +4130*COS(2*R301+P301-2*S301) -(1-0.002516*L301)*3958*COS(4*R301-Q301-P301) +3258*COS(3*R301-P301) +(1 - 0.002516*L301)*2616*COS(2*R301+Q301+P301) -(1 - 0.002516*L301)*1897*COS(4*R301-Q301-2*P301)  -(1-0.002516*L301)^2*2117*COS(2*Q301-P301) +(1-0.002516*L301)^2*2354*COS(2*R301+2*Q301-P301) -1423*COS(4*R301+P301) -1117*COS(4*P301) -(1-0.002516*L301)*1571*COS(4*R301-Q301)  -1739*COS(R301-2*P301) -4421*COS(2*P301-2*S301) +(1-0.002516*L301)^2*1165*COS(2*Q301+P301) +8752*COS(2*R301-P301-2*S301))/1000</f>
        <v>371416.660252167</v>
      </c>
      <c r="AV301" s="54" t="n">
        <f aca="false">ATAN(0.99664719*TAN($A$10*input!$E$2))</f>
        <v>0.871010436227447</v>
      </c>
      <c r="AW301" s="54" t="n">
        <f aca="false">COS(AV301)</f>
        <v>0.644053912545845</v>
      </c>
      <c r="AX301" s="54" t="n">
        <f aca="false">0.99664719*SIN(AV301)</f>
        <v>0.762415269897027</v>
      </c>
      <c r="AY301" s="54" t="n">
        <f aca="false">6378.14/AU301</f>
        <v>0.0171724660807344</v>
      </c>
      <c r="AZ301" s="55" t="n">
        <f aca="false">M301-15*AH301</f>
        <v>-180.609772910884</v>
      </c>
      <c r="BA301" s="56" t="n">
        <f aca="false">COS($A$10*AG301)*SIN($A$10*AZ301)</f>
        <v>0.0100271797905586</v>
      </c>
      <c r="BB301" s="56" t="n">
        <f aca="false">COS($A$10*AG301)*COS($A$10*AZ301)-AW301*AY301</f>
        <v>-0.953203177797468</v>
      </c>
      <c r="BC301" s="56" t="n">
        <f aca="false">SIN($A$10*AG301)-AX301*AY301</f>
        <v>-0.34815325654483</v>
      </c>
      <c r="BD301" s="57" t="n">
        <f aca="false">SQRT(BA301^2+BB301^2+BC301^2)</f>
        <v>1.0148436000392</v>
      </c>
      <c r="BE301" s="58" t="n">
        <f aca="false">AU301*BD301</f>
        <v>376929.820604844</v>
      </c>
    </row>
    <row r="302" customFormat="false" ht="15" hidden="false" customHeight="false" outlineLevel="0" collapsed="false">
      <c r="D302" s="41" t="n">
        <f aca="false">K302-INT(275*E302/9)+IF($A$8="common year",2,1)*INT((E302+9)/12)+30</f>
        <v>28</v>
      </c>
      <c r="E302" s="41" t="n">
        <f aca="false">IF(K302&lt;32,1,INT(9*(IF($A$8="common year",2,1)+K302)/275+0.98))</f>
        <v>10</v>
      </c>
      <c r="F302" s="42" t="n">
        <f aca="false">AM302</f>
        <v>-61.9681174282872</v>
      </c>
      <c r="G302" s="60" t="n">
        <f aca="false">F302+1.02/(TAN($A$10*(F302+10.3/(F302+5.11)))*60)</f>
        <v>-61.9770997564991</v>
      </c>
      <c r="H302" s="43" t="n">
        <f aca="false">100*(1+COS($A$10*AQ302))/2</f>
        <v>8.24173543711612</v>
      </c>
      <c r="I302" s="43" t="n">
        <f aca="false">IF(AI302&gt;180,AT302-180,AT302+180)</f>
        <v>331.762409983215</v>
      </c>
      <c r="J302" s="61" t="n">
        <f aca="false">$J$2+K301</f>
        <v>2459880.5</v>
      </c>
      <c r="K302" s="21" t="n">
        <v>301</v>
      </c>
      <c r="L302" s="62" t="n">
        <f aca="false">(J302-2451545)/36525</f>
        <v>0.228213552361396</v>
      </c>
      <c r="M302" s="63" t="n">
        <f aca="false">MOD(280.46061837+360.98564736629*(J302-2451545)+0.000387933*L302^2-L302^3/38710000+$B$7,360)</f>
        <v>51.3242602841929</v>
      </c>
      <c r="N302" s="30" t="n">
        <f aca="false">0.606433+1336.855225*L302 - INT(0.606433+1336.855225*L302)</f>
        <v>0.694912890143712</v>
      </c>
      <c r="O302" s="35" t="n">
        <f aca="false">22640*SIN(P302)-4586*SIN(P302-2*R302)+2370*SIN(2*R302)+769*SIN(2*P302)-668*SIN(Q302)-412*SIN(2*S302)-212*SIN(2*P302-2*R302)-206*SIN(P302+Q302-2*R302)+192*SIN(P302+2*R302)-165*SIN(Q302-2*R302)-125*SIN(R302)-110*SIN(P302+Q302)+148*SIN(P302-Q302)-55*SIN(2*S302-2*R302)</f>
        <v>-8621.80135813255</v>
      </c>
      <c r="P302" s="32" t="n">
        <f aca="false">2*PI()*(0.374897+1325.55241*L302 - INT(0.374897+1325.55241*L302))</f>
        <v>5.55384149645735</v>
      </c>
      <c r="Q302" s="36" t="n">
        <f aca="false">2*PI()*(0.993133+99.997361*L302 - INT(0.993133+99.997361*L302))</f>
        <v>5.11379643486797</v>
      </c>
      <c r="R302" s="36" t="n">
        <f aca="false">2*PI()*(0.827361+1236.853086*L302 - INT(0.827361+1236.853086*L302))</f>
        <v>0.590603743682266</v>
      </c>
      <c r="S302" s="36" t="n">
        <f aca="false">2*PI()*(0.259086+1342.227825*L302 - INT(0.259086+1342.227825*L302))</f>
        <v>3.60444991789772</v>
      </c>
      <c r="T302" s="36" t="n">
        <f aca="false">S302+(O302+412*SIN(2*S302)+541*SIN(Q302))/206264.8062</f>
        <v>3.56183193731982</v>
      </c>
      <c r="U302" s="36" t="n">
        <f aca="false">S302-2*R302</f>
        <v>2.42324243053318</v>
      </c>
      <c r="V302" s="34" t="n">
        <f aca="false">-526*SIN(U302)+44*SIN(P302+U302)-31*SIN(-P302+U302)-23*SIN(Q302+U302)+11*SIN(-Q302+U302)-25*SIN(-2*P302+S302)+21*SIN(-P302+S302)</f>
        <v>-324.859962072867</v>
      </c>
      <c r="W302" s="36" t="n">
        <f aca="false">2*PI()*(N302+O302/1296000-INT(N302+O302/1296000))</f>
        <v>4.32446678857836</v>
      </c>
      <c r="X302" s="35" t="n">
        <f aca="false">W302*180/PI()</f>
        <v>247.773695630033</v>
      </c>
      <c r="Y302" s="36" t="n">
        <f aca="false">(18520*SIN(T302)+V302)/206264.8062</f>
        <v>-0.0382063710576387</v>
      </c>
      <c r="Z302" s="36" t="n">
        <f aca="false">Y302*180/PI()</f>
        <v>-2.18906381211348</v>
      </c>
      <c r="AA302" s="36" t="n">
        <f aca="false">COS(Y302)*COS(W302)</f>
        <v>-0.377989763404389</v>
      </c>
      <c r="AB302" s="36" t="n">
        <f aca="false">COS(Y302)*SIN(W302)</f>
        <v>-0.925021471156918</v>
      </c>
      <c r="AC302" s="36" t="n">
        <f aca="false">SIN(Y302)</f>
        <v>-0.0381970765921406</v>
      </c>
      <c r="AD302" s="36" t="n">
        <f aca="false">COS($A$10*(23.4393-46.815*L302/3600))*AB302-SIN($A$10*(23.4393-46.815*L302/3600))*AC302</f>
        <v>-0.833517492596992</v>
      </c>
      <c r="AE302" s="36" t="n">
        <f aca="false">SIN($A$10*(23.4393-46.815*L302/3600))*AB302+COS($A$10*(23.4393-46.815*L302/3600))*AC302</f>
        <v>-0.402954499039678</v>
      </c>
      <c r="AF302" s="36" t="n">
        <f aca="false">SQRT(1-AE302*AE302)</f>
        <v>0.915220012731191</v>
      </c>
      <c r="AG302" s="35" t="n">
        <f aca="false">ATAN(AE302/AF302)/$A$10</f>
        <v>-23.7630088873246</v>
      </c>
      <c r="AH302" s="36" t="n">
        <f aca="false">IF(24*ATAN(AD302/(AA302+AF302))/PI()&gt;0,24*ATAN(AD302/(AA302+AF302))/PI(),24*ATAN(AD302/(AA302+AF302))/PI()+24)</f>
        <v>16.3737534725109</v>
      </c>
      <c r="AI302" s="63" t="n">
        <f aca="false">IF(M302-15*AH302&gt;0,M302-15*AH302,360+M302-15*AH302)</f>
        <v>165.71795819653</v>
      </c>
      <c r="AJ302" s="32" t="n">
        <f aca="false">0.950724+0.051818*COS(P302)+0.009531*COS(2*R302-P302)+0.007843*COS(2*R302)+0.002824*COS(2*P302)+0.000857*COS(2*R302+P302)+0.000533*COS(2*R302-Q302)*(1-0.002495*(J302-2415020)/36525)+0.000401*COS(2*R302-Q302-P302)*(1-0.002495*(J302-2415020)/36525)+0.00032*COS(P302-Q302)*(1-0.002495*(J302-2415020)/36525)-0.000271*COS(R302)</f>
        <v>0.989540502580148</v>
      </c>
      <c r="AK302" s="36" t="n">
        <f aca="false">ASIN(COS($A$10*$B$5)*COS($A$10*AG302)*COS($A$10*AI302)+SIN($A$10*$B$5)*SIN($A$10*AG302))/$A$10</f>
        <v>-61.4968472055437</v>
      </c>
      <c r="AL302" s="32" t="n">
        <f aca="false">ASIN((0.9983271+0.0016764*COS($A$10*2*$B$5))*COS($A$10*AK302)*SIN($A$10*AJ302))/$A$10</f>
        <v>0.47127022274344</v>
      </c>
      <c r="AM302" s="32" t="n">
        <f aca="false">AK302-AL302</f>
        <v>-61.9681174282872</v>
      </c>
      <c r="AN302" s="35" t="n">
        <f aca="false"> MOD(280.4664567 + 360007.6982779*L302/10 + 0.03032028*L302^2/100 + L302^3/49931000,360)</f>
        <v>216.330042636402</v>
      </c>
      <c r="AO302" s="32" t="n">
        <f aca="false"> AN302 + (1.9146 - 0.004817*L302 - 0.000014*L302^2)*SIN(Q302)+ (0.019993 - 0.000101*L302)*SIN(2*Q302)+ 0.00029*SIN(3*Q302)</f>
        <v>214.554382236719</v>
      </c>
      <c r="AP302" s="32" t="n">
        <f aca="false">ACOS(COS(W302-$A$10*AO302)*COS(Y302))/$A$10</f>
        <v>33.2831091567486</v>
      </c>
      <c r="AQ302" s="34" t="n">
        <f aca="false">180 - AP302 -0.1468*(1-0.0549*SIN(Q302))*SIN($A$10*AP302)/(1-0.0167*SIN($A$10*AO302))</f>
        <v>146.633053372378</v>
      </c>
      <c r="AR302" s="64" t="n">
        <f aca="false">SIN($A$10*AI302)</f>
        <v>0.24669528232687</v>
      </c>
      <c r="AS302" s="64" t="n">
        <f aca="false">COS($A$10*AI302)*SIN($A$10*$B$5) - TAN($A$10*AG302)*COS($A$10*$B$5)</f>
        <v>-0.459360850183387</v>
      </c>
      <c r="AT302" s="24" t="n">
        <f aca="false">IF(OR(AND(AR302*AS302&gt;0), AND(AR302&lt;0,AS302&gt;0)), MOD(ATAN2(AS302,AR302)/$A$10+360,360),  ATAN2(AS302,AR302)/$A$10)</f>
        <v>151.762409983215</v>
      </c>
      <c r="AU302" s="39" t="n">
        <f aca="false"> 385000.56 + (-20905355*COS(P302) - 3699111*COS(2*R302-P302) - 2955968*COS(2*R302) - 569925*COS(2*P302) + (1-0.002516*L302)*48888*COS(Q302) - 3149*COS(2*S302)  +246158*COS(2*R302-2*P302) -(1 - 0.002516*L302)*152138*COS(2*R302-Q302-P302) -170733*COS(2*R302+P302) -(1 - 0.002516*L302)*204586*COS(2*R302-Q302) -(1 - 0.002516*L302)*129620*COS(Q302-P302)  + 108743*COS(R302) +(1-0.002516*L302)*104755*COS(Q302+P302) +10321*COS(2*R302-2*S302) +79661*COS(P302-2*S302) -34782*COS(4*R302-P302) -23210*COS(3*P302)  -21636*COS(4*R302-2*P302) +(1 - 0.002516*L302)*24208*COS(2*R302+Q302-P302) +(1 - 0.002516*L302)*30824*COS(2*R302+Q302) -8379*COS(R302-P302) -(1 - 0.002516*L302)*16675*COS(R302+Q302)  -(1 - 0.002516*L302)*12831*COS(2*R302-Q302+P302) -10445*COS(2*R302+2*P302) -11650*COS(4*R302) +14403*COS(2*R302-3*P302) -(1-0.002516*L302)*7003*COS(Q302-2*P302)  + (1 - 0.002516*L302)*10056*COS(2*R302-Q302-2*P302) +6322*COS(R302+P302) -(1 - 0.002516*L302)*(1-0.002516*L302)*9884*COS(2*R302-2*Q302) +(1-0.002516*L302)*5751*COS(Q302+2*P302) - (1-0.002516*L302)^2*4950*COS(2*R302-2*Q302-P302)  +4130*COS(2*R302+P302-2*S302) -(1-0.002516*L302)*3958*COS(4*R302-Q302-P302) +3258*COS(3*R302-P302) +(1 - 0.002516*L302)*2616*COS(2*R302+Q302+P302) -(1 - 0.002516*L302)*1897*COS(4*R302-Q302-2*P302)  -(1-0.002516*L302)^2*2117*COS(2*Q302-P302) +(1-0.002516*L302)^2*2354*COS(2*R302+2*Q302-P302) -1423*COS(4*R302+P302) -1117*COS(4*P302) -(1-0.002516*L302)*1571*COS(4*R302-Q302)  -1739*COS(R302-2*P302) -4421*COS(2*P302-2*S302) +(1-0.002516*L302)^2*1165*COS(2*Q302+P302) +8752*COS(2*R302-P302-2*S302))/1000</f>
        <v>369442.856973468</v>
      </c>
      <c r="AV302" s="54" t="n">
        <f aca="false">ATAN(0.99664719*TAN($A$10*input!$E$2))</f>
        <v>0.871010436227447</v>
      </c>
      <c r="AW302" s="54" t="n">
        <f aca="false">COS(AV302)</f>
        <v>0.644053912545845</v>
      </c>
      <c r="AX302" s="54" t="n">
        <f aca="false">0.99664719*SIN(AV302)</f>
        <v>0.762415269897027</v>
      </c>
      <c r="AY302" s="54" t="n">
        <f aca="false">6378.14/AU302</f>
        <v>0.0172642125286998</v>
      </c>
      <c r="AZ302" s="55" t="n">
        <f aca="false">M302-15*AH302</f>
        <v>-194.28204180347</v>
      </c>
      <c r="BA302" s="56" t="n">
        <f aca="false">COS($A$10*AG302)*SIN($A$10*AZ302)</f>
        <v>0.225780459431924</v>
      </c>
      <c r="BB302" s="56" t="n">
        <f aca="false">COS($A$10*AG302)*COS($A$10*AZ302)-AW302*AY302</f>
        <v>-0.898052483517235</v>
      </c>
      <c r="BC302" s="56" t="n">
        <f aca="false">SIN($A$10*AG302)-AX302*AY302</f>
        <v>-0.416116998294307</v>
      </c>
      <c r="BD302" s="57" t="n">
        <f aca="false">SQRT(BA302^2+BB302^2+BC302^2)</f>
        <v>1.01519871713977</v>
      </c>
      <c r="BE302" s="58" t="n">
        <f aca="false">AU302*BD302</f>
        <v>375057.914455915</v>
      </c>
    </row>
    <row r="303" customFormat="false" ht="15" hidden="false" customHeight="false" outlineLevel="0" collapsed="false">
      <c r="D303" s="41" t="n">
        <f aca="false">K303-INT(275*E303/9)+IF($A$8="common year",2,1)*INT((E303+9)/12)+30</f>
        <v>29</v>
      </c>
      <c r="E303" s="41" t="n">
        <f aca="false">IF(K303&lt;32,1,INT(9*(IF($A$8="common year",2,1)+K303)/275+0.98))</f>
        <v>10</v>
      </c>
      <c r="F303" s="42" t="n">
        <f aca="false">AM303</f>
        <v>-58.2797182111039</v>
      </c>
      <c r="G303" s="60" t="n">
        <f aca="false">F303+1.02/(TAN($A$10*(F303+10.3/(F303+5.11)))*60)</f>
        <v>-58.290146668442</v>
      </c>
      <c r="H303" s="43" t="n">
        <f aca="false">100*(1+COS($A$10*AQ303))/2</f>
        <v>15.7233674753966</v>
      </c>
      <c r="I303" s="43" t="n">
        <f aca="false">IF(AI303&gt;180,AT303-180,AT303+180)</f>
        <v>306.001641003178</v>
      </c>
      <c r="J303" s="61" t="n">
        <f aca="false">$J$2+K302</f>
        <v>2459881.5</v>
      </c>
      <c r="K303" s="21" t="n">
        <v>302</v>
      </c>
      <c r="L303" s="62" t="n">
        <f aca="false">(J303-2451545)/36525</f>
        <v>0.228240930869268</v>
      </c>
      <c r="M303" s="63" t="n">
        <f aca="false">MOD(280.46061837+360.98564736629*(J303-2451545)+0.000387933*L303^2-L303^3/38710000+$B$7,360)</f>
        <v>52.309907654766</v>
      </c>
      <c r="N303" s="30" t="n">
        <f aca="false">0.606433+1336.855225*L303 - INT(0.606433+1336.855225*L303)</f>
        <v>0.731513991444217</v>
      </c>
      <c r="O303" s="35" t="n">
        <f aca="false">22640*SIN(P303)-4586*SIN(P303-2*R303)+2370*SIN(2*R303)+769*SIN(2*P303)-668*SIN(Q303)-412*SIN(2*S303)-212*SIN(2*P303-2*R303)-206*SIN(P303+Q303-2*R303)+192*SIN(P303+2*R303)-165*SIN(Q303-2*R303)-125*SIN(R303)-110*SIN(P303+Q303)+148*SIN(P303-Q303)-55*SIN(2*S303-2*R303)</f>
        <v>-4577.27432882885</v>
      </c>
      <c r="P303" s="32" t="n">
        <f aca="false">2*PI()*(0.374897+1325.55241*L303 - INT(0.374897+1325.55241*L303))</f>
        <v>5.78186864023281</v>
      </c>
      <c r="Q303" s="36" t="n">
        <f aca="false">2*PI()*(0.993133+99.997361*L303 - INT(0.993133+99.997361*L303))</f>
        <v>5.13099840473497</v>
      </c>
      <c r="R303" s="36" t="n">
        <f aca="false">2*PI()*(0.827361+1236.853086*L303 - INT(0.827361+1236.853086*L303))</f>
        <v>0.803372453801291</v>
      </c>
      <c r="S303" s="36" t="n">
        <f aca="false">2*PI()*(0.259086+1342.227825*L303 - INT(0.259086+1342.227825*L303))</f>
        <v>3.83534563723872</v>
      </c>
      <c r="T303" s="36" t="n">
        <f aca="false">S303+(O303+412*SIN(2*S303)+541*SIN(Q303))/206264.8062</f>
        <v>3.81272198610576</v>
      </c>
      <c r="U303" s="36" t="n">
        <f aca="false">S303-2*R303</f>
        <v>2.22860072963614</v>
      </c>
      <c r="V303" s="34" t="n">
        <f aca="false">-526*SIN(U303)+44*SIN(P303+U303)-31*SIN(-P303+U303)-23*SIN(Q303+U303)+11*SIN(-Q303+U303)-25*SIN(-2*P303+S303)+21*SIN(-P303+S303)</f>
        <v>-402.769254467951</v>
      </c>
      <c r="W303" s="36" t="n">
        <f aca="false">2*PI()*(N303+O303/1296000-INT(N303+O303/1296000))</f>
        <v>4.57404671087052</v>
      </c>
      <c r="X303" s="35" t="n">
        <f aca="false">W303*180/PI()</f>
        <v>262.073571828577</v>
      </c>
      <c r="Y303" s="36" t="n">
        <f aca="false">(18520*SIN(T303)+V303)/206264.8062</f>
        <v>-0.0577888997809122</v>
      </c>
      <c r="Z303" s="36" t="n">
        <f aca="false">Y303*180/PI()</f>
        <v>-3.31106006015076</v>
      </c>
      <c r="AA303" s="36" t="n">
        <f aca="false">COS(Y303)*COS(W303)</f>
        <v>-0.137671211679933</v>
      </c>
      <c r="AB303" s="36" t="n">
        <f aca="false">COS(Y303)*SIN(W303)</f>
        <v>-0.988792595253729</v>
      </c>
      <c r="AC303" s="36" t="n">
        <f aca="false">SIN(Y303)</f>
        <v>-0.0577567402644427</v>
      </c>
      <c r="AD303" s="36" t="n">
        <f aca="false">COS($A$10*(23.4393-46.815*L303/3600))*AB303-SIN($A$10*(23.4393-46.815*L303/3600))*AC303</f>
        <v>-0.884248207065358</v>
      </c>
      <c r="AE303" s="36" t="n">
        <f aca="false">SIN($A$10*(23.4393-46.815*L303/3600))*AB303+COS($A$10*(23.4393-46.815*L303/3600))*AC303</f>
        <v>-0.446264210727545</v>
      </c>
      <c r="AF303" s="36" t="n">
        <f aca="false">SQRT(1-AE303*AE303)</f>
        <v>0.894901253895491</v>
      </c>
      <c r="AG303" s="35" t="n">
        <f aca="false">ATAN(AE303/AF303)/$A$10</f>
        <v>-26.5042510085634</v>
      </c>
      <c r="AH303" s="36" t="n">
        <f aca="false">IF(24*ATAN(AD303/(AA303+AF303))/PI()&gt;0,24*ATAN(AD303/(AA303+AF303))/PI(),24*ATAN(AD303/(AA303+AF303))/PI()+24)</f>
        <v>17.4100332984846</v>
      </c>
      <c r="AI303" s="63" t="n">
        <f aca="false">IF(M303-15*AH303&gt;0,M303-15*AH303,360+M303-15*AH303)</f>
        <v>151.159408177497</v>
      </c>
      <c r="AJ303" s="32" t="n">
        <f aca="false">0.950724+0.051818*COS(P303)+0.009531*COS(2*R303-P303)+0.007843*COS(2*R303)+0.002824*COS(2*P303)+0.000857*COS(2*R303+P303)+0.000533*COS(2*R303-Q303)*(1-0.002495*(J303-2415020)/36525)+0.000401*COS(2*R303-Q303-P303)*(1-0.002495*(J303-2415020)/36525)+0.00032*COS(P303-Q303)*(1-0.002495*(J303-2415020)/36525)-0.000271*COS(R303)</f>
        <v>0.992085967109343</v>
      </c>
      <c r="AK303" s="36" t="n">
        <f aca="false">ASIN(COS($A$10*$B$5)*COS($A$10*AG303)*COS($A$10*AI303)+SIN($A$10*$B$5)*SIN($A$10*AG303))/$A$10</f>
        <v>-57.7514059263402</v>
      </c>
      <c r="AL303" s="32" t="n">
        <f aca="false">ASIN((0.9983271+0.0016764*COS($A$10*2*$B$5))*COS($A$10*AK303)*SIN($A$10*AJ303))/$A$10</f>
        <v>0.528312284763717</v>
      </c>
      <c r="AM303" s="32" t="n">
        <f aca="false">AK303-AL303</f>
        <v>-58.2797182111039</v>
      </c>
      <c r="AN303" s="35" t="n">
        <f aca="false"> MOD(280.4664567 + 360007.6982779*L303/10 + 0.03032028*L303^2/100 + L303^3/49931000,360)</f>
        <v>217.315690000296</v>
      </c>
      <c r="AO303" s="32" t="n">
        <f aca="false"> AN303 + (1.9146 - 0.004817*L303 - 0.000014*L303^2)*SIN(Q303)+ (0.019993 - 0.000101*L303)*SIN(2*Q303)+ 0.00029*SIN(3*Q303)</f>
        <v>215.552667639869</v>
      </c>
      <c r="AP303" s="32" t="n">
        <f aca="false">ACOS(COS(W303-$A$10*AO303)*COS(Y303))/$A$10</f>
        <v>46.6115333308364</v>
      </c>
      <c r="AQ303" s="34" t="n">
        <f aca="false">180 - AP303 -0.1468*(1-0.0549*SIN(Q303))*SIN($A$10*AP303)/(1-0.0167*SIN($A$10*AO303))</f>
        <v>133.277511500353</v>
      </c>
      <c r="AR303" s="64" t="n">
        <f aca="false">SIN($A$10*AI303)</f>
        <v>0.482374382214474</v>
      </c>
      <c r="AS303" s="64" t="n">
        <f aca="false">COS($A$10*AI303)*SIN($A$10*$B$5) - TAN($A$10*AG303)*COS($A$10*$B$5)</f>
        <v>-0.350486611958825</v>
      </c>
      <c r="AT303" s="24" t="n">
        <f aca="false">IF(OR(AND(AR303*AS303&gt;0), AND(AR303&lt;0,AS303&gt;0)), MOD(ATAN2(AS303,AR303)/$A$10+360,360),  ATAN2(AS303,AR303)/$A$10)</f>
        <v>126.001641003178</v>
      </c>
      <c r="AU303" s="39" t="n">
        <f aca="false"> 385000.56 + (-20905355*COS(P303) - 3699111*COS(2*R303-P303) - 2955968*COS(2*R303) - 569925*COS(2*P303) + (1-0.002516*L303)*48888*COS(Q303) - 3149*COS(2*S303)  +246158*COS(2*R303-2*P303) -(1 - 0.002516*L303)*152138*COS(2*R303-Q303-P303) -170733*COS(2*R303+P303) -(1 - 0.002516*L303)*204586*COS(2*R303-Q303) -(1 - 0.002516*L303)*129620*COS(Q303-P303)  + 108743*COS(R303) +(1-0.002516*L303)*104755*COS(Q303+P303) +10321*COS(2*R303-2*S303) +79661*COS(P303-2*S303) -34782*COS(4*R303-P303) -23210*COS(3*P303)  -21636*COS(4*R303-2*P303) +(1 - 0.002516*L303)*24208*COS(2*R303+Q303-P303) +(1 - 0.002516*L303)*30824*COS(2*R303+Q303) -8379*COS(R303-P303) -(1 - 0.002516*L303)*16675*COS(R303+Q303)  -(1 - 0.002516*L303)*12831*COS(2*R303-Q303+P303) -10445*COS(2*R303+2*P303) -11650*COS(4*R303) +14403*COS(2*R303-3*P303) -(1-0.002516*L303)*7003*COS(Q303-2*P303)  + (1 - 0.002516*L303)*10056*COS(2*R303-Q303-2*P303) +6322*COS(R303+P303) -(1 - 0.002516*L303)*(1-0.002516*L303)*9884*COS(2*R303-2*Q303) +(1-0.002516*L303)*5751*COS(Q303+2*P303) - (1-0.002516*L303)^2*4950*COS(2*R303-2*Q303-P303)  +4130*COS(2*R303+P303-2*S303) -(1-0.002516*L303)*3958*COS(4*R303-Q303-P303) +3258*COS(3*R303-P303) +(1 - 0.002516*L303)*2616*COS(2*R303+Q303+P303) -(1 - 0.002516*L303)*1897*COS(4*R303-Q303-2*P303)  -(1-0.002516*L303)^2*2117*COS(2*Q303-P303) +(1-0.002516*L303)^2*2354*COS(2*R303+2*Q303-P303) -1423*COS(4*R303+P303) -1117*COS(4*P303) -(1-0.002516*L303)*1571*COS(4*R303-Q303)  -1739*COS(R303-2*P303) -4421*COS(2*P303-2*S303) +(1-0.002516*L303)^2*1165*COS(2*Q303+P303) +8752*COS(2*R303-P303-2*S303))/1000</f>
        <v>368451.171696808</v>
      </c>
      <c r="AV303" s="54" t="n">
        <f aca="false">ATAN(0.99664719*TAN($A$10*input!$E$2))</f>
        <v>0.871010436227447</v>
      </c>
      <c r="AW303" s="54" t="n">
        <f aca="false">COS(AV303)</f>
        <v>0.644053912545845</v>
      </c>
      <c r="AX303" s="54" t="n">
        <f aca="false">0.99664719*SIN(AV303)</f>
        <v>0.762415269897027</v>
      </c>
      <c r="AY303" s="54" t="n">
        <f aca="false">6378.14/AU303</f>
        <v>0.0173106791074299</v>
      </c>
      <c r="AZ303" s="55" t="n">
        <f aca="false">M303-15*AH303</f>
        <v>-208.840591822503</v>
      </c>
      <c r="BA303" s="56" t="n">
        <f aca="false">COS($A$10*AG303)*SIN($A$10*AZ303)</f>
        <v>0.431677439490796</v>
      </c>
      <c r="BB303" s="56" t="n">
        <f aca="false">COS($A$10*AG303)*COS($A$10*AZ303)-AW303*AY303</f>
        <v>-0.795051327518939</v>
      </c>
      <c r="BC303" s="56" t="n">
        <f aca="false">SIN($A$10*AG303)-AX303*AY303</f>
        <v>-0.459462136811337</v>
      </c>
      <c r="BD303" s="57" t="n">
        <f aca="false">SQRT(BA303^2+BB303^2+BC303^2)</f>
        <v>1.01467111928851</v>
      </c>
      <c r="BE303" s="58" t="n">
        <f aca="false">AU303*BD303</f>
        <v>373856.762788763</v>
      </c>
    </row>
    <row r="304" customFormat="false" ht="15" hidden="false" customHeight="false" outlineLevel="0" collapsed="false">
      <c r="D304" s="41" t="n">
        <f aca="false">K304-INT(275*E304/9)+IF($A$8="common year",2,1)*INT((E304+9)/12)+30</f>
        <v>30</v>
      </c>
      <c r="E304" s="41" t="n">
        <f aca="false">IF(K304&lt;32,1,INT(9*(IF($A$8="common year",2,1)+K304)/275+0.98))</f>
        <v>10</v>
      </c>
      <c r="F304" s="42" t="n">
        <f aca="false">AM304</f>
        <v>-50.5015275212372</v>
      </c>
      <c r="G304" s="60" t="n">
        <f aca="false">F304+1.02/(TAN($A$10*(F304+10.3/(F304+5.11)))*60)</f>
        <v>-50.5154277733129</v>
      </c>
      <c r="H304" s="43" t="n">
        <f aca="false">100*(1+COS($A$10*AQ304))/2</f>
        <v>25.0585069447886</v>
      </c>
      <c r="I304" s="43" t="n">
        <f aca="false">IF(AI304&gt;180,AT304-180,AT304+180)</f>
        <v>287.388294944786</v>
      </c>
      <c r="J304" s="61" t="n">
        <f aca="false">$J$2+K303</f>
        <v>2459882.5</v>
      </c>
      <c r="K304" s="21" t="n">
        <v>303</v>
      </c>
      <c r="L304" s="62" t="n">
        <f aca="false">(J304-2451545)/36525</f>
        <v>0.228268309377139</v>
      </c>
      <c r="M304" s="63" t="n">
        <f aca="false">MOD(280.46061837+360.98564736629*(J304-2451545)+0.000387933*L304^2-L304^3/38710000+$B$7,360)</f>
        <v>53.2955550262705</v>
      </c>
      <c r="N304" s="30" t="n">
        <f aca="false">0.606433+1336.855225*L304 - INT(0.606433+1336.855225*L304)</f>
        <v>0.768115092744665</v>
      </c>
      <c r="O304" s="35" t="n">
        <f aca="false">22640*SIN(P304)-4586*SIN(P304-2*R304)+2370*SIN(2*R304)+769*SIN(2*P304)-668*SIN(Q304)-412*SIN(2*S304)-212*SIN(2*P304-2*R304)-206*SIN(P304+Q304-2*R304)+192*SIN(P304+2*R304)-165*SIN(Q304-2*R304)-125*SIN(R304)-110*SIN(P304+Q304)+148*SIN(P304-Q304)-55*SIN(2*S304-2*R304)</f>
        <v>-414.579812570743</v>
      </c>
      <c r="P304" s="32" t="n">
        <f aca="false">2*PI()*(0.374897+1325.55241*L304 - INT(0.374897+1325.55241*L304))</f>
        <v>6.00989578400863</v>
      </c>
      <c r="Q304" s="36" t="n">
        <f aca="false">2*PI()*(0.993133+99.997361*L304 - INT(0.993133+99.997361*L304))</f>
        <v>5.14820037460194</v>
      </c>
      <c r="R304" s="36" t="n">
        <f aca="false">2*PI()*(0.827361+1236.853086*L304 - INT(0.827361+1236.853086*L304))</f>
        <v>1.01614116391996</v>
      </c>
      <c r="S304" s="36" t="n">
        <f aca="false">2*PI()*(0.259086+1342.227825*L304 - INT(0.259086+1342.227825*L304))</f>
        <v>4.06624135657937</v>
      </c>
      <c r="T304" s="36" t="n">
        <f aca="false">S304+(O304+412*SIN(2*S304)+541*SIN(Q304))/206264.8062</f>
        <v>4.06377420617882</v>
      </c>
      <c r="U304" s="36" t="n">
        <f aca="false">S304-2*R304</f>
        <v>2.03395902873945</v>
      </c>
      <c r="V304" s="34" t="n">
        <f aca="false">-526*SIN(U304)+44*SIN(P304+U304)-31*SIN(-P304+U304)-23*SIN(Q304+U304)+11*SIN(-Q304+U304)-25*SIN(-2*P304+S304)+21*SIN(-P304+S304)</f>
        <v>-463.323594542436</v>
      </c>
      <c r="W304" s="36" t="n">
        <f aca="false">2*PI()*(N304+O304/1296000-INT(N304+O304/1296000))</f>
        <v>4.8241995253057</v>
      </c>
      <c r="X304" s="35" t="n">
        <f aca="false">W304*180/PI()</f>
        <v>276.406272329032</v>
      </c>
      <c r="Y304" s="36" t="n">
        <f aca="false">(18520*SIN(T304)+V304)/206264.8062</f>
        <v>-0.0737998273042544</v>
      </c>
      <c r="Z304" s="36" t="n">
        <f aca="false">Y304*180/PI()</f>
        <v>-4.22841863332811</v>
      </c>
      <c r="AA304" s="36" t="n">
        <f aca="false">COS(Y304)*COS(W304)</f>
        <v>0.111274010708339</v>
      </c>
      <c r="AB304" s="36" t="n">
        <f aca="false">COS(Y304)*SIN(W304)</f>
        <v>-0.991050735665667</v>
      </c>
      <c r="AC304" s="36" t="n">
        <f aca="false">SIN(Y304)</f>
        <v>-0.0737328548031437</v>
      </c>
      <c r="AD304" s="36" t="n">
        <f aca="false">COS($A$10*(23.4393-46.815*L304/3600))*AB304-SIN($A$10*(23.4393-46.815*L304/3600))*AC304</f>
        <v>-0.879965883291514</v>
      </c>
      <c r="AE304" s="36" t="n">
        <f aca="false">SIN($A$10*(23.4393-46.815*L304/3600))*AB304+COS($A$10*(23.4393-46.815*L304/3600))*AC304</f>
        <v>-0.461820461634027</v>
      </c>
      <c r="AF304" s="36" t="n">
        <f aca="false">SQRT(1-AE304*AE304)</f>
        <v>0.886973427570485</v>
      </c>
      <c r="AG304" s="35" t="n">
        <f aca="false">ATAN(AE304/AF304)/$A$10</f>
        <v>-27.5046410896826</v>
      </c>
      <c r="AH304" s="36" t="n">
        <f aca="false">IF(24*ATAN(AD304/(AA304+AF304))/PI()&gt;0,24*ATAN(AD304/(AA304+AF304))/PI(),24*ATAN(AD304/(AA304+AF304))/PI()+24)</f>
        <v>18.4804634285172</v>
      </c>
      <c r="AI304" s="63" t="n">
        <f aca="false">IF(M304-15*AH304&gt;0,M304-15*AH304,360+M304-15*AH304)</f>
        <v>136.088603598513</v>
      </c>
      <c r="AJ304" s="32" t="n">
        <f aca="false">0.950724+0.051818*COS(P304)+0.009531*COS(2*R304-P304)+0.007843*COS(2*R304)+0.002824*COS(2*P304)+0.000857*COS(2*R304+P304)+0.000533*COS(2*R304-Q304)*(1-0.002495*(J304-2415020)/36525)+0.000401*COS(2*R304-Q304-P304)*(1-0.002495*(J304-2415020)/36525)+0.00032*COS(P304-Q304)*(1-0.002495*(J304-2415020)/36525)-0.000271*COS(R304)</f>
        <v>0.992140849701616</v>
      </c>
      <c r="AK304" s="36" t="n">
        <f aca="false">ASIN(COS($A$10*$B$5)*COS($A$10*AG304)*COS($A$10*AI304)+SIN($A$10*$B$5)*SIN($A$10*AG304))/$A$10</f>
        <v>-49.863254344873</v>
      </c>
      <c r="AL304" s="32" t="n">
        <f aca="false">ASIN((0.9983271+0.0016764*COS($A$10*2*$B$5))*COS($A$10*AK304)*SIN($A$10*AJ304))/$A$10</f>
        <v>0.638273176364254</v>
      </c>
      <c r="AM304" s="32" t="n">
        <f aca="false">AK304-AL304</f>
        <v>-50.5015275212372</v>
      </c>
      <c r="AN304" s="35" t="n">
        <f aca="false"> MOD(280.4664567 + 360007.6982779*L304/10 + 0.03032028*L304^2/100 + L304^3/49931000,360)</f>
        <v>218.301337364186</v>
      </c>
      <c r="AO304" s="32" t="n">
        <f aca="false"> AN304 + (1.9146 - 0.004817*L304 - 0.000014*L304^2)*SIN(Q304)+ (0.019993 - 0.000101*L304)*SIN(2*Q304)+ 0.00029*SIN(3*Q304)</f>
        <v>216.551487674117</v>
      </c>
      <c r="AP304" s="32" t="n">
        <f aca="false">ACOS(COS(W304-$A$10*AO304)*COS(Y304))/$A$10</f>
        <v>59.9453130548186</v>
      </c>
      <c r="AQ304" s="34" t="n">
        <f aca="false">180 - AP304 -0.1468*(1-0.0549*SIN(Q304))*SIN($A$10*AP304)/(1-0.0167*SIN($A$10*AO304))</f>
        <v>119.922614382499</v>
      </c>
      <c r="AR304" s="64" t="n">
        <f aca="false">SIN($A$10*AI304)</f>
        <v>0.693545135581782</v>
      </c>
      <c r="AS304" s="64" t="n">
        <f aca="false">COS($A$10*AI304)*SIN($A$10*$B$5) - TAN($A$10*AG304)*COS($A$10*$B$5)</f>
        <v>-0.217188280745173</v>
      </c>
      <c r="AT304" s="24" t="n">
        <f aca="false">IF(OR(AND(AR304*AS304&gt;0), AND(AR304&lt;0,AS304&gt;0)), MOD(ATAN2(AS304,AR304)/$A$10+360,360),  ATAN2(AS304,AR304)/$A$10)</f>
        <v>107.388294944786</v>
      </c>
      <c r="AU304" s="39" t="n">
        <f aca="false"> 385000.56 + (-20905355*COS(P304) - 3699111*COS(2*R304-P304) - 2955968*COS(2*R304) - 569925*COS(2*P304) + (1-0.002516*L304)*48888*COS(Q304) - 3149*COS(2*S304)  +246158*COS(2*R304-2*P304) -(1 - 0.002516*L304)*152138*COS(2*R304-Q304-P304) -170733*COS(2*R304+P304) -(1 - 0.002516*L304)*204586*COS(2*R304-Q304) -(1 - 0.002516*L304)*129620*COS(Q304-P304)  + 108743*COS(R304) +(1-0.002516*L304)*104755*COS(Q304+P304) +10321*COS(2*R304-2*S304) +79661*COS(P304-2*S304) -34782*COS(4*R304-P304) -23210*COS(3*P304)  -21636*COS(4*R304-2*P304) +(1 - 0.002516*L304)*24208*COS(2*R304+Q304-P304) +(1 - 0.002516*L304)*30824*COS(2*R304+Q304) -8379*COS(R304-P304) -(1 - 0.002516*L304)*16675*COS(R304+Q304)  -(1 - 0.002516*L304)*12831*COS(2*R304-Q304+P304) -10445*COS(2*R304+2*P304) -11650*COS(4*R304) +14403*COS(2*R304-3*P304) -(1-0.002516*L304)*7003*COS(Q304-2*P304)  + (1 - 0.002516*L304)*10056*COS(2*R304-Q304-2*P304) +6322*COS(R304+P304) -(1 - 0.002516*L304)*(1-0.002516*L304)*9884*COS(2*R304-2*Q304) +(1-0.002516*L304)*5751*COS(Q304+2*P304) - (1-0.002516*L304)^2*4950*COS(2*R304-2*Q304-P304)  +4130*COS(2*R304+P304-2*S304) -(1-0.002516*L304)*3958*COS(4*R304-Q304-P304) +3258*COS(3*R304-P304) +(1 - 0.002516*L304)*2616*COS(2*R304+Q304+P304) -(1 - 0.002516*L304)*1897*COS(4*R304-Q304-2*P304)  -(1-0.002516*L304)^2*2117*COS(2*Q304-P304) +(1-0.002516*L304)^2*2354*COS(2*R304+2*Q304-P304) -1423*COS(4*R304+P304) -1117*COS(4*P304) -(1-0.002516*L304)*1571*COS(4*R304-Q304)  -1739*COS(R304-2*P304) -4421*COS(2*P304-2*S304) +(1-0.002516*L304)^2*1165*COS(2*Q304+P304) +8752*COS(2*R304-P304-2*S304))/1000</f>
        <v>368353.409166924</v>
      </c>
      <c r="AV304" s="54" t="n">
        <f aca="false">ATAN(0.99664719*TAN($A$10*input!$E$2))</f>
        <v>0.871010436227447</v>
      </c>
      <c r="AW304" s="54" t="n">
        <f aca="false">COS(AV304)</f>
        <v>0.644053912545845</v>
      </c>
      <c r="AX304" s="54" t="n">
        <f aca="false">0.99664719*SIN(AV304)</f>
        <v>0.762415269897027</v>
      </c>
      <c r="AY304" s="54" t="n">
        <f aca="false">6378.14/AU304</f>
        <v>0.0173152734338063</v>
      </c>
      <c r="AZ304" s="55" t="n">
        <f aca="false">M304-15*AH304</f>
        <v>-223.911396401487</v>
      </c>
      <c r="BA304" s="56" t="n">
        <f aca="false">COS($A$10*AG304)*SIN($A$10*AZ304)</f>
        <v>0.61515610608181</v>
      </c>
      <c r="BB304" s="56" t="n">
        <f aca="false">COS($A$10*AG304)*COS($A$10*AZ304)-AW304*AY304</f>
        <v>-0.650139314051168</v>
      </c>
      <c r="BC304" s="56" t="n">
        <f aca="false">SIN($A$10*AG304)-AX304*AY304</f>
        <v>-0.475021890502404</v>
      </c>
      <c r="BD304" s="57" t="n">
        <f aca="false">SQRT(BA304^2+BB304^2+BC304^2)</f>
        <v>1.0132837504772</v>
      </c>
      <c r="BE304" s="58" t="n">
        <f aca="false">AU304*BD304</f>
        <v>373246.523941722</v>
      </c>
    </row>
    <row r="305" customFormat="false" ht="15" hidden="false" customHeight="false" outlineLevel="0" collapsed="false">
      <c r="D305" s="41" t="n">
        <f aca="false">K305-INT(275*E305/9)+IF($A$8="common year",2,1)*INT((E305+9)/12)+30</f>
        <v>31</v>
      </c>
      <c r="E305" s="41" t="n">
        <f aca="false">IF(K305&lt;32,1,INT(9*(IF($A$8="common year",2,1)+K305)/275+0.98))</f>
        <v>10</v>
      </c>
      <c r="F305" s="42" t="n">
        <f aca="false">AM305</f>
        <v>-40.5623395327579</v>
      </c>
      <c r="G305" s="60" t="n">
        <f aca="false">F305+1.02/(TAN($A$10*(F305+10.3/(F305+5.11)))*60)</f>
        <v>-40.5819975203285</v>
      </c>
      <c r="H305" s="43" t="n">
        <f aca="false">100*(1+COS($A$10*AQ305))/2</f>
        <v>35.6871195094955</v>
      </c>
      <c r="I305" s="43" t="n">
        <f aca="false">IF(AI305&gt;180,AT305-180,AT305+180)</f>
        <v>274.83618145624</v>
      </c>
      <c r="J305" s="61" t="n">
        <f aca="false">$J$2+K304</f>
        <v>2459883.5</v>
      </c>
      <c r="K305" s="21" t="n">
        <v>304</v>
      </c>
      <c r="L305" s="62" t="n">
        <f aca="false">(J305-2451545)/36525</f>
        <v>0.22829568788501</v>
      </c>
      <c r="M305" s="63" t="n">
        <f aca="false">MOD(280.46061837+360.98564736629*(J305-2451545)+0.000387933*L305^2-L305^3/38710000+$B$7,360)</f>
        <v>54.2812023973092</v>
      </c>
      <c r="N305" s="30" t="n">
        <f aca="false">0.606433+1336.855225*L305 - INT(0.606433+1336.855225*L305)</f>
        <v>0.80471619404517</v>
      </c>
      <c r="O305" s="35" t="n">
        <f aca="false">22640*SIN(P305)-4586*SIN(P305-2*R305)+2370*SIN(2*R305)+769*SIN(2*P305)-668*SIN(Q305)-412*SIN(2*S305)-212*SIN(2*P305-2*R305)-206*SIN(P305+Q305-2*R305)+192*SIN(P305+2*R305)-165*SIN(Q305-2*R305)-125*SIN(R305)-110*SIN(P305+Q305)+148*SIN(P305-Q305)-55*SIN(2*S305-2*R305)</f>
        <v>3636.28649161667</v>
      </c>
      <c r="P305" s="32" t="n">
        <f aca="false">2*PI()*(0.374897+1325.55241*L305 - INT(0.374897+1325.55241*L305))</f>
        <v>6.23792292778409</v>
      </c>
      <c r="Q305" s="36" t="n">
        <f aca="false">2*PI()*(0.993133+99.997361*L305 - INT(0.993133+99.997361*L305))</f>
        <v>5.16540234446894</v>
      </c>
      <c r="R305" s="36" t="n">
        <f aca="false">2*PI()*(0.827361+1236.853086*L305 - INT(0.827361+1236.853086*L305))</f>
        <v>1.22890987403898</v>
      </c>
      <c r="S305" s="36" t="n">
        <f aca="false">2*PI()*(0.259086+1342.227825*L305 - INT(0.259086+1342.227825*L305))</f>
        <v>4.29713707592037</v>
      </c>
      <c r="T305" s="36" t="n">
        <f aca="false">S305+(O305+412*SIN(2*S305)+541*SIN(Q305))/206264.8062</f>
        <v>4.31388265529063</v>
      </c>
      <c r="U305" s="36" t="n">
        <f aca="false">S305-2*R305</f>
        <v>1.83931732784241</v>
      </c>
      <c r="V305" s="34" t="n">
        <f aca="false">-526*SIN(U305)+44*SIN(P305+U305)-31*SIN(-P305+U305)-23*SIN(Q305+U305)+11*SIN(-Q305+U305)-25*SIN(-2*P305+S305)+21*SIN(-P305+S305)</f>
        <v>-502.788768731838</v>
      </c>
      <c r="W305" s="36" t="n">
        <f aca="false">2*PI()*(N305+O305/1296000-INT(N305+O305/1296000))</f>
        <v>5.07381018126979</v>
      </c>
      <c r="X305" s="35" t="n">
        <f aca="false">W305*180/PI()</f>
        <v>290.707909437266</v>
      </c>
      <c r="Y305" s="36" t="n">
        <f aca="false">(18520*SIN(T305)+V305)/206264.8062</f>
        <v>-0.085189480907444</v>
      </c>
      <c r="Z305" s="36" t="n">
        <f aca="false">Y305*180/PI()</f>
        <v>-4.88099771490685</v>
      </c>
      <c r="AA305" s="36" t="n">
        <f aca="false">COS(Y305)*COS(W305)</f>
        <v>0.352321654441068</v>
      </c>
      <c r="AB305" s="36" t="n">
        <f aca="false">COS(Y305)*SIN(W305)</f>
        <v>-0.932003081034053</v>
      </c>
      <c r="AC305" s="36" t="n">
        <f aca="false">SIN(Y305)</f>
        <v>-0.0850864780969374</v>
      </c>
      <c r="AD305" s="36" t="n">
        <f aca="false">COS($A$10*(23.4393-46.815*L305/3600))*AB305-SIN($A$10*(23.4393-46.815*L305/3600))*AC305</f>
        <v>-0.821273835071959</v>
      </c>
      <c r="AE305" s="36" t="n">
        <f aca="false">SIN($A$10*(23.4393-46.815*L305/3600))*AB305+COS($A$10*(23.4393-46.815*L305/3600))*AC305</f>
        <v>-0.448752425774063</v>
      </c>
      <c r="AF305" s="36" t="n">
        <f aca="false">SQRT(1-AE305*AE305)</f>
        <v>0.893656119747352</v>
      </c>
      <c r="AG305" s="35" t="n">
        <f aca="false">ATAN(AE305/AF305)/$A$10</f>
        <v>-26.6636690186475</v>
      </c>
      <c r="AH305" s="36" t="n">
        <f aca="false">IF(24*ATAN(AD305/(AA305+AF305))/PI()&gt;0,24*ATAN(AD305/(AA305+AF305))/PI(),24*ATAN(AD305/(AA305+AF305))/PI()+24)</f>
        <v>19.5479365514667</v>
      </c>
      <c r="AI305" s="63" t="n">
        <f aca="false">IF(M305-15*AH305&gt;0,M305-15*AH305,360+M305-15*AH305)</f>
        <v>121.062154125308</v>
      </c>
      <c r="AJ305" s="32" t="n">
        <f aca="false">0.950724+0.051818*COS(P305)+0.009531*COS(2*R305-P305)+0.007843*COS(2*R305)+0.002824*COS(2*P305)+0.000857*COS(2*R305+P305)+0.000533*COS(2*R305-Q305)*(1-0.002495*(J305-2415020)/36525)+0.000401*COS(2*R305-Q305-P305)*(1-0.002495*(J305-2415020)/36525)+0.00032*COS(P305-Q305)*(1-0.002495*(J305-2415020)/36525)-0.000271*COS(R305)</f>
        <v>0.990153879405947</v>
      </c>
      <c r="AK305" s="36" t="n">
        <f aca="false">ASIN(COS($A$10*$B$5)*COS($A$10*AG305)*COS($A$10*AI305)+SIN($A$10*$B$5)*SIN($A$10*AG305))/$A$10</f>
        <v>-39.8031651961164</v>
      </c>
      <c r="AL305" s="32" t="n">
        <f aca="false">ASIN((0.9983271+0.0016764*COS($A$10*2*$B$5))*COS($A$10*AK305)*SIN($A$10*AJ305))/$A$10</f>
        <v>0.759174336641431</v>
      </c>
      <c r="AM305" s="32" t="n">
        <f aca="false">AK305-AL305</f>
        <v>-40.5623395327579</v>
      </c>
      <c r="AN305" s="35" t="n">
        <f aca="false"> MOD(280.4664567 + 360007.6982779*L305/10 + 0.03032028*L305^2/100 + L305^3/49931000,360)</f>
        <v>219.286984728082</v>
      </c>
      <c r="AO305" s="32" t="n">
        <f aca="false"> AN305 + (1.9146 - 0.004817*L305 - 0.000014*L305^2)*SIN(Q305)+ (0.019993 - 0.000101*L305)*SIN(2*Q305)+ 0.00029*SIN(3*Q305)</f>
        <v>217.550838875968</v>
      </c>
      <c r="AP305" s="32" t="n">
        <f aca="false">ACOS(COS(W305-$A$10*AO305)*COS(Y305))/$A$10</f>
        <v>73.2199622512516</v>
      </c>
      <c r="AQ305" s="34" t="n">
        <f aca="false">180 - AP305 -0.1468*(1-0.0549*SIN(Q305))*SIN($A$10*AP305)/(1-0.0167*SIN($A$10*AO305))</f>
        <v>106.63403663689</v>
      </c>
      <c r="AR305" s="64" t="n">
        <f aca="false">SIN($A$10*AI305)</f>
        <v>0.856608086183242</v>
      </c>
      <c r="AS305" s="64" t="n">
        <f aca="false">COS($A$10*AI305)*SIN($A$10*$B$5) - TAN($A$10*AG305)*COS($A$10*$B$5)</f>
        <v>-0.0724761696536766</v>
      </c>
      <c r="AT305" s="24" t="n">
        <f aca="false">IF(OR(AND(AR305*AS305&gt;0), AND(AR305&lt;0,AS305&gt;0)), MOD(ATAN2(AS305,AR305)/$A$10+360,360),  ATAN2(AS305,AR305)/$A$10)</f>
        <v>94.8361814562404</v>
      </c>
      <c r="AU305" s="39" t="n">
        <f aca="false"> 385000.56 + (-20905355*COS(P305) - 3699111*COS(2*R305-P305) - 2955968*COS(2*R305) - 569925*COS(2*P305) + (1-0.002516*L305)*48888*COS(Q305) - 3149*COS(2*S305)  +246158*COS(2*R305-2*P305) -(1 - 0.002516*L305)*152138*COS(2*R305-Q305-P305) -170733*COS(2*R305+P305) -(1 - 0.002516*L305)*204586*COS(2*R305-Q305) -(1 - 0.002516*L305)*129620*COS(Q305-P305)  + 108743*COS(R305) +(1-0.002516*L305)*104755*COS(Q305+P305) +10321*COS(2*R305-2*S305) +79661*COS(P305-2*S305) -34782*COS(4*R305-P305) -23210*COS(3*P305)  -21636*COS(4*R305-2*P305) +(1 - 0.002516*L305)*24208*COS(2*R305+Q305-P305) +(1 - 0.002516*L305)*30824*COS(2*R305+Q305) -8379*COS(R305-P305) -(1 - 0.002516*L305)*16675*COS(R305+Q305)  -(1 - 0.002516*L305)*12831*COS(2*R305-Q305+P305) -10445*COS(2*R305+2*P305) -11650*COS(4*R305) +14403*COS(2*R305-3*P305) -(1-0.002516*L305)*7003*COS(Q305-2*P305)  + (1 - 0.002516*L305)*10056*COS(2*R305-Q305-2*P305) +6322*COS(R305+P305) -(1 - 0.002516*L305)*(1-0.002516*L305)*9884*COS(2*R305-2*Q305) +(1-0.002516*L305)*5751*COS(Q305+2*P305) - (1-0.002516*L305)^2*4950*COS(2*R305-2*Q305-P305)  +4130*COS(2*R305+P305-2*S305) -(1-0.002516*L305)*3958*COS(4*R305-Q305-P305) +3258*COS(3*R305-P305) +(1 - 0.002516*L305)*2616*COS(2*R305+Q305+P305) -(1 - 0.002516*L305)*1897*COS(4*R305-Q305-2*P305)  -(1-0.002516*L305)^2*2117*COS(2*Q305-P305) +(1-0.002516*L305)^2*2354*COS(2*R305+2*Q305-P305) -1423*COS(4*R305+P305) -1117*COS(4*P305) -(1-0.002516*L305)*1571*COS(4*R305-Q305)  -1739*COS(R305-2*P305) -4421*COS(2*P305-2*S305) +(1-0.002516*L305)^2*1165*COS(2*Q305+P305) +8752*COS(2*R305-P305-2*S305))/1000</f>
        <v>369007.135516517</v>
      </c>
      <c r="AV305" s="54" t="n">
        <f aca="false">ATAN(0.99664719*TAN($A$10*input!$E$2))</f>
        <v>0.871010436227447</v>
      </c>
      <c r="AW305" s="54" t="n">
        <f aca="false">COS(AV305)</f>
        <v>0.644053912545845</v>
      </c>
      <c r="AX305" s="54" t="n">
        <f aca="false">0.99664719*SIN(AV305)</f>
        <v>0.762415269897027</v>
      </c>
      <c r="AY305" s="54" t="n">
        <f aca="false">6378.14/AU305</f>
        <v>0.0172845980093914</v>
      </c>
      <c r="AZ305" s="55" t="n">
        <f aca="false">M305-15*AH305</f>
        <v>-238.937845874692</v>
      </c>
      <c r="BA305" s="56" t="n">
        <f aca="false">COS($A$10*AG305)*SIN($A$10*AZ305)</f>
        <v>0.765513058442722</v>
      </c>
      <c r="BB305" s="56" t="n">
        <f aca="false">COS($A$10*AG305)*COS($A$10*AZ305)-AW305*AY305</f>
        <v>-0.472229835735425</v>
      </c>
      <c r="BC305" s="56" t="n">
        <f aca="false">SIN($A$10*AG305)-AX305*AY305</f>
        <v>-0.461930467230455</v>
      </c>
      <c r="BD305" s="57" t="n">
        <f aca="false">SQRT(BA305^2+BB305^2+BC305^2)</f>
        <v>1.01113353072717</v>
      </c>
      <c r="BE305" s="58" t="n">
        <f aca="false">AU305*BD305</f>
        <v>373115.487798333</v>
      </c>
    </row>
    <row r="306" customFormat="false" ht="15" hidden="false" customHeight="false" outlineLevel="0" collapsed="false">
      <c r="A306" s="11"/>
      <c r="B306" s="69"/>
      <c r="C306" s="69"/>
      <c r="D306" s="70" t="n">
        <f aca="false">K306-INT(275*E306/9)+IF($A$8="common year",2,1)*INT((E306+9)/12)+30</f>
        <v>1</v>
      </c>
      <c r="E306" s="70" t="n">
        <f aca="false">IF(K306&lt;32,1,INT(9*(IF($A$8="common year",2,1)+K306)/275+0.98))</f>
        <v>11</v>
      </c>
      <c r="F306" s="42" t="n">
        <f aca="false">AM306</f>
        <v>-29.5855354775695</v>
      </c>
      <c r="G306" s="60" t="n">
        <f aca="false">F306+1.02/(TAN($A$10*(F306+10.3/(F306+5.11)))*60)</f>
        <v>-29.61497278997</v>
      </c>
      <c r="H306" s="43" t="n">
        <f aca="false">100*(1+COS($A$10*AQ306))/2</f>
        <v>46.9878146242127</v>
      </c>
      <c r="I306" s="43" t="n">
        <f aca="false">IF(AI306&gt;180,AT306-180,AT306+180)</f>
        <v>265.906673388211</v>
      </c>
      <c r="J306" s="44" t="n">
        <f aca="false">$J$2+K305</f>
        <v>2459884.5</v>
      </c>
      <c r="K306" s="11" t="n">
        <v>305</v>
      </c>
      <c r="L306" s="45" t="n">
        <f aca="false">(J306-2451545)/36525</f>
        <v>0.228323066392882</v>
      </c>
      <c r="M306" s="46" t="n">
        <f aca="false">MOD(280.46061837+360.98564736629*(J306-2451545)+0.000387933*L306^2-L306^3/38710000+$B$7,360)</f>
        <v>55.2668497688137</v>
      </c>
      <c r="N306" s="47" t="n">
        <f aca="false">0.606433+1336.855225*L306 - INT(0.606433+1336.855225*L306)</f>
        <v>0.841317295345618</v>
      </c>
      <c r="O306" s="46" t="n">
        <f aca="false">22640*SIN(P306)-4586*SIN(P306-2*R306)+2370*SIN(2*R306)+769*SIN(2*P306)-668*SIN(Q306)-412*SIN(2*S306)-212*SIN(2*P306-2*R306)-206*SIN(P306+Q306-2*R306)+192*SIN(P306+2*R306)-165*SIN(Q306-2*R306)-125*SIN(R306)-110*SIN(P306+Q306)+148*SIN(P306-Q306)-55*SIN(2*S306-2*R306)</f>
        <v>7399.77844387532</v>
      </c>
      <c r="P306" s="48" t="n">
        <f aca="false">2*PI()*(0.374897+1325.55241*L306 - INT(0.374897+1325.55241*L306))</f>
        <v>0.182764764380323</v>
      </c>
      <c r="Q306" s="51" t="n">
        <f aca="false">2*PI()*(0.993133+99.997361*L306 - INT(0.993133+99.997361*L306))</f>
        <v>5.18260431433593</v>
      </c>
      <c r="R306" s="51" t="n">
        <f aca="false">2*PI()*(0.827361+1236.853086*L306 - INT(0.827361+1236.853086*L306))</f>
        <v>1.44167858415801</v>
      </c>
      <c r="S306" s="51" t="n">
        <f aca="false">2*PI()*(0.259086+1342.227825*L306 - INT(0.259086+1342.227825*L306))</f>
        <v>4.52803279526138</v>
      </c>
      <c r="T306" s="51" t="n">
        <f aca="false">S306+(O306+412*SIN(2*S306)+541*SIN(Q306))/206264.8062</f>
        <v>4.56228965047738</v>
      </c>
      <c r="U306" s="51" t="n">
        <f aca="false">S306-2*R306</f>
        <v>1.64467562694536</v>
      </c>
      <c r="V306" s="50" t="n">
        <f aca="false">-526*SIN(U306)+44*SIN(P306+U306)-31*SIN(-P306+U306)-23*SIN(Q306+U306)+11*SIN(-Q306+U306)-25*SIN(-2*P306+S306)+21*SIN(-P306+S306)</f>
        <v>-518.768095163391</v>
      </c>
      <c r="W306" s="51" t="n">
        <f aca="false">2*PI()*(N306+O306/1296000-INT(N306+O306/1296000))</f>
        <v>5.32202760705936</v>
      </c>
      <c r="X306" s="46" t="n">
        <f aca="false">W306*180/PI()</f>
        <v>304.92972033661</v>
      </c>
      <c r="Y306" s="51" t="n">
        <f aca="false">(18520*SIN(T306)+V306)/206264.8062</f>
        <v>-0.0912930024769559</v>
      </c>
      <c r="Z306" s="51" t="n">
        <f aca="false">Y306*180/PI()</f>
        <v>-5.23070374100694</v>
      </c>
      <c r="AA306" s="51" t="n">
        <f aca="false">COS(Y306)*COS(W306)</f>
        <v>0.570186858160337</v>
      </c>
      <c r="AB306" s="51" t="n">
        <f aca="false">COS(Y306)*SIN(W306)</f>
        <v>-0.816440850832407</v>
      </c>
      <c r="AC306" s="51" t="n">
        <f aca="false">SIN(Y306)</f>
        <v>-0.0911662430579406</v>
      </c>
      <c r="AD306" s="51" t="n">
        <f aca="false">COS($A$10*(23.4393-46.815*L306/3600))*AB306-SIN($A$10*(23.4393-46.815*L306/3600))*AC306</f>
        <v>-0.712827086327863</v>
      </c>
      <c r="AE306" s="51" t="n">
        <f aca="false">SIN($A$10*(23.4393-46.815*L306/3600))*AB306+COS($A$10*(23.4393-46.815*L306/3600))*AC306</f>
        <v>-0.408368083692364</v>
      </c>
      <c r="AF306" s="51" t="n">
        <f aca="false">SQRT(1-AE306*AE306)</f>
        <v>0.912817346582232</v>
      </c>
      <c r="AG306" s="46" t="n">
        <f aca="false">ATAN(AE306/AF306)/$A$10</f>
        <v>-24.1023615206976</v>
      </c>
      <c r="AH306" s="51" t="n">
        <f aca="false">IF(24*ATAN(AD306/(AA306+AF306))/PI()&gt;0,24*ATAN(AD306/(AA306+AF306))/PI(),24*ATAN(AD306/(AA306+AF306))/PI()+24)</f>
        <v>20.5770761000395</v>
      </c>
      <c r="AI306" s="46" t="n">
        <f aca="false">IF(M306-15*AH306&gt;0,M306-15*AH306,360+M306-15*AH306)</f>
        <v>106.610708268222</v>
      </c>
      <c r="AJ306" s="48" t="n">
        <f aca="false">0.950724+0.051818*COS(P306)+0.009531*COS(2*R306-P306)+0.007843*COS(2*R306)+0.002824*COS(2*P306)+0.000857*COS(2*R306+P306)+0.000533*COS(2*R306-Q306)*(1-0.002495*(J306-2415020)/36525)+0.000401*COS(2*R306-Q306-P306)*(1-0.002495*(J306-2415020)/36525)+0.00032*COS(P306-Q306)*(1-0.002495*(J306-2415020)/36525)-0.000271*COS(R306)</f>
        <v>0.986645667943628</v>
      </c>
      <c r="AK306" s="51" t="n">
        <f aca="false">ASIN(COS($A$10*$B$5)*COS($A$10*AG306)*COS($A$10*AI306)+SIN($A$10*$B$5)*SIN($A$10*AG306))/$A$10</f>
        <v>-28.7219943029703</v>
      </c>
      <c r="AL306" s="48" t="n">
        <f aca="false">ASIN((0.9983271+0.0016764*COS($A$10*2*$B$5))*COS($A$10*AK306)*SIN($A$10*AJ306))/$A$10</f>
        <v>0.863541174599197</v>
      </c>
      <c r="AM306" s="48" t="n">
        <f aca="false">AK306-AL306</f>
        <v>-29.5855354775695</v>
      </c>
      <c r="AN306" s="46" t="n">
        <f aca="false"> MOD(280.4664567 + 360007.6982779*L306/10 + 0.03032028*L306^2/100 + L306^3/49931000,360)</f>
        <v>220.272632091977</v>
      </c>
      <c r="AO306" s="48" t="n">
        <f aca="false"> AN306 + (1.9146 - 0.004817*L306 - 0.000014*L306^2)*SIN(Q306)+ (0.019993 - 0.000101*L306)*SIN(2*Q306)+ 0.00029*SIN(3*Q306)</f>
        <v>218.55071760916</v>
      </c>
      <c r="AP306" s="48" t="n">
        <f aca="false">ACOS(COS(W306-$A$10*AO306)*COS(Y306))/$A$10</f>
        <v>86.3941016740009</v>
      </c>
      <c r="AQ306" s="50" t="n">
        <f aca="false">180 - AP306 -0.1468*(1-0.0549*SIN(Q306))*SIN($A$10*AP306)/(1-0.0167*SIN($A$10*AO306))</f>
        <v>93.4538014845952</v>
      </c>
      <c r="AR306" s="44" t="n">
        <f aca="false">SIN($A$10*AI306)</f>
        <v>0.958269164133208</v>
      </c>
      <c r="AS306" s="44" t="n">
        <f aca="false">COS($A$10*AI306)*SIN($A$10*$B$5) - TAN($A$10*AG306)*COS($A$10*$B$5)</f>
        <v>0.0685774031425156</v>
      </c>
      <c r="AT306" s="71" t="n">
        <f aca="false">IF(OR(AND(AR306*AS306&gt;0), AND(AR306&lt;0,AS306&gt;0)), MOD(ATAN2(AS306,AR306)/$A$10+360,360),  ATAN2(AS306,AR306)/$A$10)</f>
        <v>85.9066733882111</v>
      </c>
      <c r="AU306" s="39" t="n">
        <f aca="false"> 385000.56 + (-20905355*COS(P306) - 3699111*COS(2*R306-P306) - 2955968*COS(2*R306) - 569925*COS(2*P306) + (1-0.002516*L306)*48888*COS(Q306) - 3149*COS(2*S306)  +246158*COS(2*R306-2*P306) -(1 - 0.002516*L306)*152138*COS(2*R306-Q306-P306) -170733*COS(2*R306+P306) -(1 - 0.002516*L306)*204586*COS(2*R306-Q306) -(1 - 0.002516*L306)*129620*COS(Q306-P306)  + 108743*COS(R306) +(1-0.002516*L306)*104755*COS(Q306+P306) +10321*COS(2*R306-2*S306) +79661*COS(P306-2*S306) -34782*COS(4*R306-P306) -23210*COS(3*P306)  -21636*COS(4*R306-2*P306) +(1 - 0.002516*L306)*24208*COS(2*R306+Q306-P306) +(1 - 0.002516*L306)*30824*COS(2*R306+Q306) -8379*COS(R306-P306) -(1 - 0.002516*L306)*16675*COS(R306+Q306)  -(1 - 0.002516*L306)*12831*COS(2*R306-Q306+P306) -10445*COS(2*R306+2*P306) -11650*COS(4*R306) +14403*COS(2*R306-3*P306) -(1-0.002516*L306)*7003*COS(Q306-2*P306)  + (1 - 0.002516*L306)*10056*COS(2*R306-Q306-2*P306) +6322*COS(R306+P306) -(1 - 0.002516*L306)*(1-0.002516*L306)*9884*COS(2*R306-2*Q306) +(1-0.002516*L306)*5751*COS(Q306+2*P306) - (1-0.002516*L306)^2*4950*COS(2*R306-2*Q306-P306)  +4130*COS(2*R306+P306-2*S306) -(1-0.002516*L306)*3958*COS(4*R306-Q306-P306) +3258*COS(3*R306-P306) +(1 - 0.002516*L306)*2616*COS(2*R306+Q306+P306) -(1 - 0.002516*L306)*1897*COS(4*R306-Q306-2*P306)  -(1-0.002516*L306)^2*2117*COS(2*Q306-P306) +(1-0.002516*L306)^2*2354*COS(2*R306+2*Q306-P306) -1423*COS(4*R306+P306) -1117*COS(4*P306) -(1-0.002516*L306)*1571*COS(4*R306-Q306)  -1739*COS(R306-2*P306) -4421*COS(2*P306-2*S306) +(1-0.002516*L306)^2*1165*COS(2*Q306+P306) +8752*COS(2*R306-P306-2*S306))/1000</f>
        <v>370256.885058405</v>
      </c>
      <c r="AV306" s="72" t="n">
        <f aca="false">ATAN(0.99664719*TAN($A$10*input!$E$2))</f>
        <v>0.871010436227447</v>
      </c>
      <c r="AW306" s="72" t="n">
        <f aca="false">COS(AV306)</f>
        <v>0.644053912545845</v>
      </c>
      <c r="AX306" s="72" t="n">
        <f aca="false">0.99664719*SIN(AV306)</f>
        <v>0.762415269897027</v>
      </c>
      <c r="AY306" s="72" t="n">
        <f aca="false">6378.14/AU306</f>
        <v>0.0172262563030905</v>
      </c>
      <c r="AZ306" s="73" t="n">
        <f aca="false">M306-15*AH306</f>
        <v>-253.389291731778</v>
      </c>
      <c r="BA306" s="74" t="n">
        <f aca="false">COS($A$10*AG306)*SIN($A$10*AZ306)</f>
        <v>0.874724715715649</v>
      </c>
      <c r="BB306" s="74" t="n">
        <f aca="false">COS($A$10*AG306)*COS($A$10*AZ306)-AW306*AY306</f>
        <v>-0.272039421082251</v>
      </c>
      <c r="BC306" s="74" t="n">
        <f aca="false">SIN($A$10*AG306)-AX306*AY306</f>
        <v>-0.421501644541</v>
      </c>
      <c r="BD306" s="75" t="n">
        <f aca="false">SQRT(BA306^2+BB306^2+BC306^2)</f>
        <v>1.0083711674068</v>
      </c>
      <c r="BE306" s="58" t="n">
        <f aca="false">AU306*BD306</f>
        <v>373356.36742675</v>
      </c>
      <c r="BH306" s="69"/>
      <c r="BI306" s="69"/>
      <c r="BJ306" s="69"/>
      <c r="BK306" s="69"/>
      <c r="BL306" s="69"/>
    </row>
    <row r="307" customFormat="false" ht="15" hidden="false" customHeight="false" outlineLevel="0" collapsed="false">
      <c r="D307" s="41" t="n">
        <f aca="false">K307-INT(275*E307/9)+IF($A$8="common year",2,1)*INT((E307+9)/12)+30</f>
        <v>2</v>
      </c>
      <c r="E307" s="41" t="n">
        <f aca="false">IF(K307&lt;32,1,INT(9*(IF($A$8="common year",2,1)+K307)/275+0.98))</f>
        <v>11</v>
      </c>
      <c r="F307" s="42" t="n">
        <f aca="false">AM307</f>
        <v>-18.1218062887215</v>
      </c>
      <c r="G307" s="60" t="n">
        <f aca="false">F307+1.02/(TAN($A$10*(F307+10.3/(F307+5.11)))*60)</f>
        <v>-18.1714213719978</v>
      </c>
      <c r="H307" s="43" t="n">
        <f aca="false">100*(1+COS($A$10*AQ307))/2</f>
        <v>58.3353381400944</v>
      </c>
      <c r="I307" s="43" t="n">
        <f aca="false">IF(AI307&gt;180,AT307-180,AT307+180)</f>
        <v>258.973719601828</v>
      </c>
      <c r="J307" s="61" t="n">
        <f aca="false">$J$2+K306</f>
        <v>2459885.5</v>
      </c>
      <c r="K307" s="21" t="n">
        <v>306</v>
      </c>
      <c r="L307" s="62" t="n">
        <f aca="false">(J307-2451545)/36525</f>
        <v>0.228350444900753</v>
      </c>
      <c r="M307" s="63" t="n">
        <f aca="false">MOD(280.46061837+360.98564736629*(J307-2451545)+0.000387933*L307^2-L307^3/38710000+$B$7,360)</f>
        <v>56.2524971398525</v>
      </c>
      <c r="N307" s="30" t="n">
        <f aca="false">0.606433+1336.855225*L307 - INT(0.606433+1336.855225*L307)</f>
        <v>0.877918396646123</v>
      </c>
      <c r="O307" s="35" t="n">
        <f aca="false">22640*SIN(P307)-4586*SIN(P307-2*R307)+2370*SIN(2*R307)+769*SIN(2*P307)-668*SIN(Q307)-412*SIN(2*S307)-212*SIN(2*P307-2*R307)-206*SIN(P307+Q307-2*R307)+192*SIN(P307+2*R307)-165*SIN(Q307-2*R307)-125*SIN(R307)-110*SIN(P307+Q307)+148*SIN(P307-Q307)-55*SIN(2*S307-2*R307)</f>
        <v>10753.2437634792</v>
      </c>
      <c r="P307" s="32" t="n">
        <f aca="false">2*PI()*(0.374897+1325.55241*L307 - INT(0.374897+1325.55241*L307))</f>
        <v>0.41079190815614</v>
      </c>
      <c r="Q307" s="36" t="n">
        <f aca="false">2*PI()*(0.993133+99.997361*L307 - INT(0.993133+99.997361*L307))</f>
        <v>5.19980628420294</v>
      </c>
      <c r="R307" s="36" t="n">
        <f aca="false">2*PI()*(0.827361+1236.853086*L307 - INT(0.827361+1236.853086*L307))</f>
        <v>1.65444729427703</v>
      </c>
      <c r="S307" s="36" t="n">
        <f aca="false">2*PI()*(0.259086+1342.227825*L307 - INT(0.259086+1342.227825*L307))</f>
        <v>4.75892851460238</v>
      </c>
      <c r="T307" s="36" t="n">
        <f aca="false">S307+(O307+412*SIN(2*S307)+541*SIN(Q307))/206264.8062</f>
        <v>4.80855866074785</v>
      </c>
      <c r="U307" s="36" t="n">
        <f aca="false">S307-2*R307</f>
        <v>1.45003392604832</v>
      </c>
      <c r="V307" s="34" t="n">
        <f aca="false">-526*SIN(U307)+44*SIN(P307+U307)-31*SIN(-P307+U307)-23*SIN(Q307+U307)+11*SIN(-Q307+U307)-25*SIN(-2*P307+S307)+21*SIN(-P307+S307)</f>
        <v>-510.452157293776</v>
      </c>
      <c r="W307" s="36" t="n">
        <f aca="false">2*PI()*(N307+O307/1296000-INT(N307+O307/1296000))</f>
        <v>5.56825716763799</v>
      </c>
      <c r="X307" s="35" t="n">
        <f aca="false">W307*180/PI()</f>
        <v>319.037634949126</v>
      </c>
      <c r="Y307" s="36" t="n">
        <f aca="false">(18520*SIN(T307)+V307)/206264.8062</f>
        <v>-0.0918473509228206</v>
      </c>
      <c r="Z307" s="36" t="n">
        <f aca="false">Y307*180/PI()</f>
        <v>-5.26246556733462</v>
      </c>
      <c r="AA307" s="36" t="n">
        <f aca="false">COS(Y307)*COS(W307)</f>
        <v>0.751957432956634</v>
      </c>
      <c r="AB307" s="36" t="n">
        <f aca="false">COS(Y307)*SIN(W307)</f>
        <v>-0.652799952631134</v>
      </c>
      <c r="AC307" s="36" t="n">
        <f aca="false">SIN(Y307)</f>
        <v>-0.0917182689874722</v>
      </c>
      <c r="AD307" s="36" t="n">
        <f aca="false">COS($A$10*(23.4393-46.815*L307/3600))*AB307-SIN($A$10*(23.4393-46.815*L307/3600))*AC307</f>
        <v>-0.562466579711738</v>
      </c>
      <c r="AE307" s="36" t="n">
        <f aca="false">SIN($A$10*(23.4393-46.815*L307/3600))*AB307+COS($A$10*(23.4393-46.815*L307/3600))*AC307</f>
        <v>-0.343789711493303</v>
      </c>
      <c r="AF307" s="36" t="n">
        <f aca="false">SQRT(1-AE307*AE307)</f>
        <v>0.939046662456851</v>
      </c>
      <c r="AG307" s="35" t="n">
        <f aca="false">ATAN(AE307/AF307)/$A$10</f>
        <v>-20.107932759471</v>
      </c>
      <c r="AH307" s="36" t="n">
        <f aca="false">IF(24*ATAN(AD307/(AA307+AF307))/PI()&gt;0,24*ATAN(AD307/(AA307+AF307))/PI(),24*ATAN(AD307/(AA307+AF307))/PI()+24)</f>
        <v>21.5468928768778</v>
      </c>
      <c r="AI307" s="63" t="n">
        <f aca="false">IF(M307-15*AH307&gt;0,M307-15*AH307,360+M307-15*AH307)</f>
        <v>93.0491039866857</v>
      </c>
      <c r="AJ307" s="32" t="n">
        <f aca="false">0.950724+0.051818*COS(P307)+0.009531*COS(2*R307-P307)+0.007843*COS(2*R307)+0.002824*COS(2*P307)+0.000857*COS(2*R307+P307)+0.000533*COS(2*R307-Q307)*(1-0.002495*(J307-2415020)/36525)+0.000401*COS(2*R307-Q307-P307)*(1-0.002495*(J307-2415020)/36525)+0.00032*COS(P307-Q307)*(1-0.002495*(J307-2415020)/36525)-0.000271*COS(R307)</f>
        <v>0.982066210538918</v>
      </c>
      <c r="AK307" s="36" t="n">
        <f aca="false">ASIN(COS($A$10*$B$5)*COS($A$10*AG307)*COS($A$10*AI307)+SIN($A$10*$B$5)*SIN($A$10*AG307))/$A$10</f>
        <v>-17.1854327191293</v>
      </c>
      <c r="AL307" s="32" t="n">
        <f aca="false">ASIN((0.9983271+0.0016764*COS($A$10*2*$B$5))*COS($A$10*AK307)*SIN($A$10*AJ307))/$A$10</f>
        <v>0.936373569592266</v>
      </c>
      <c r="AM307" s="32" t="n">
        <f aca="false">AK307-AL307</f>
        <v>-18.1218062887215</v>
      </c>
      <c r="AN307" s="35" t="n">
        <f aca="false"> MOD(280.4664567 + 360007.6982779*L307/10 + 0.03032028*L307^2/100 + L307^3/49931000,360)</f>
        <v>221.258279455871</v>
      </c>
      <c r="AO307" s="32" t="n">
        <f aca="false"> AN307 + (1.9146 - 0.004817*L307 - 0.000014*L307^2)*SIN(Q307)+ (0.019993 - 0.000101*L307)*SIN(2*Q307)+ 0.00029*SIN(3*Q307)</f>
        <v>219.551120065211</v>
      </c>
      <c r="AP307" s="32" t="n">
        <f aca="false">ACOS(COS(W307-$A$10*AO307)*COS(Y307))/$A$10</f>
        <v>99.4461621238115</v>
      </c>
      <c r="AQ307" s="34" t="n">
        <f aca="false">180 - AP307 -0.1468*(1-0.0549*SIN(Q307))*SIN($A$10*AP307)/(1-0.0167*SIN($A$10*AO307))</f>
        <v>80.4036018378072</v>
      </c>
      <c r="AR307" s="64" t="n">
        <f aca="false">SIN($A$10*AI307)</f>
        <v>0.998584314728415</v>
      </c>
      <c r="AS307" s="64" t="n">
        <f aca="false">COS($A$10*AI307)*SIN($A$10*$B$5) - TAN($A$10*AG307)*COS($A$10*$B$5)</f>
        <v>0.194580506420465</v>
      </c>
      <c r="AT307" s="24" t="n">
        <f aca="false">IF(OR(AND(AR307*AS307&gt;0), AND(AR307&lt;0,AS307&gt;0)), MOD(ATAN2(AS307,AR307)/$A$10+360,360),  ATAN2(AS307,AR307)/$A$10)</f>
        <v>78.9737196018284</v>
      </c>
      <c r="AU307" s="39" t="n">
        <f aca="false"> 385000.56 + (-20905355*COS(P307) - 3699111*COS(2*R307-P307) - 2955968*COS(2*R307) - 569925*COS(2*P307) + (1-0.002516*L307)*48888*COS(Q307) - 3149*COS(2*S307)  +246158*COS(2*R307-2*P307) -(1 - 0.002516*L307)*152138*COS(2*R307-Q307-P307) -170733*COS(2*R307+P307) -(1 - 0.002516*L307)*204586*COS(2*R307-Q307) -(1 - 0.002516*L307)*129620*COS(Q307-P307)  + 108743*COS(R307) +(1-0.002516*L307)*104755*COS(Q307+P307) +10321*COS(2*R307-2*S307) +79661*COS(P307-2*S307) -34782*COS(4*R307-P307) -23210*COS(3*P307)  -21636*COS(4*R307-2*P307) +(1 - 0.002516*L307)*24208*COS(2*R307+Q307-P307) +(1 - 0.002516*L307)*30824*COS(2*R307+Q307) -8379*COS(R307-P307) -(1 - 0.002516*L307)*16675*COS(R307+Q307)  -(1 - 0.002516*L307)*12831*COS(2*R307-Q307+P307) -10445*COS(2*R307+2*P307) -11650*COS(4*R307) +14403*COS(2*R307-3*P307) -(1-0.002516*L307)*7003*COS(Q307-2*P307)  + (1 - 0.002516*L307)*10056*COS(2*R307-Q307-2*P307) +6322*COS(R307+P307) -(1 - 0.002516*L307)*(1-0.002516*L307)*9884*COS(2*R307-2*Q307) +(1-0.002516*L307)*5751*COS(Q307+2*P307) - (1-0.002516*L307)^2*4950*COS(2*R307-2*Q307-P307)  +4130*COS(2*R307+P307-2*S307) -(1-0.002516*L307)*3958*COS(4*R307-Q307-P307) +3258*COS(3*R307-P307) +(1 - 0.002516*L307)*2616*COS(2*R307+Q307+P307) -(1 - 0.002516*L307)*1897*COS(4*R307-Q307-2*P307)  -(1-0.002516*L307)^2*2117*COS(2*Q307-P307) +(1-0.002516*L307)^2*2354*COS(2*R307+2*Q307-P307) -1423*COS(4*R307+P307) -1117*COS(4*P307) -(1-0.002516*L307)*1571*COS(4*R307-Q307)  -1739*COS(R307-2*P307) -4421*COS(2*P307-2*S307) +(1-0.002516*L307)^2*1165*COS(2*Q307+P307) +8752*COS(2*R307-P307-2*S307))/1000</f>
        <v>371968.629276787</v>
      </c>
      <c r="AV307" s="54" t="n">
        <f aca="false">ATAN(0.99664719*TAN($A$10*input!$E$2))</f>
        <v>0.871010436227447</v>
      </c>
      <c r="AW307" s="54" t="n">
        <f aca="false">COS(AV307)</f>
        <v>0.644053912545845</v>
      </c>
      <c r="AX307" s="54" t="n">
        <f aca="false">0.99664719*SIN(AV307)</f>
        <v>0.762415269897027</v>
      </c>
      <c r="AY307" s="54" t="n">
        <f aca="false">6378.14/AU307</f>
        <v>0.0171469836378431</v>
      </c>
      <c r="AZ307" s="55" t="n">
        <f aca="false">M307-15*AH307</f>
        <v>-266.950896013314</v>
      </c>
      <c r="BA307" s="56" t="n">
        <f aca="false">COS($A$10*AG307)*SIN($A$10*AZ307)</f>
        <v>0.93771726792748</v>
      </c>
      <c r="BB307" s="56" t="n">
        <f aca="false">COS($A$10*AG307)*COS($A$10*AZ307)-AW307*AY307</f>
        <v>-0.0609931534898026</v>
      </c>
      <c r="BC307" s="56" t="n">
        <f aca="false">SIN($A$10*AG307)-AX307*AY307</f>
        <v>-0.356862833651469</v>
      </c>
      <c r="BD307" s="57" t="n">
        <f aca="false">SQRT(BA307^2+BB307^2+BC307^2)</f>
        <v>1.00517904941546</v>
      </c>
      <c r="BE307" s="58" t="n">
        <f aca="false">AU307*BD307</f>
        <v>373895.073188812</v>
      </c>
    </row>
    <row r="308" customFormat="false" ht="15" hidden="false" customHeight="false" outlineLevel="0" collapsed="false">
      <c r="D308" s="41" t="n">
        <f aca="false">K308-INT(275*E308/9)+IF($A$8="common year",2,1)*INT((E308+9)/12)+30</f>
        <v>3</v>
      </c>
      <c r="E308" s="41" t="n">
        <f aca="false">IF(K308&lt;32,1,INT(9*(IF($A$8="common year",2,1)+K308)/275+0.98))</f>
        <v>11</v>
      </c>
      <c r="F308" s="42" t="n">
        <f aca="false">AM308</f>
        <v>-6.45585657419823</v>
      </c>
      <c r="G308" s="60" t="n">
        <f aca="false">F308+1.02/(TAN($A$10*(F308+10.3/(F308+5.11)))*60)</f>
        <v>-6.5234915684572</v>
      </c>
      <c r="H308" s="43" t="n">
        <f aca="false">100*(1+COS($A$10*AQ308))/2</f>
        <v>69.1400224182224</v>
      </c>
      <c r="I308" s="43" t="n">
        <f aca="false">IF(AI308&gt;180,AT308-180,AT308+180)</f>
        <v>253.07275542266</v>
      </c>
      <c r="J308" s="61" t="n">
        <f aca="false">$J$2+K307</f>
        <v>2459886.5</v>
      </c>
      <c r="K308" s="21" t="n">
        <v>307</v>
      </c>
      <c r="L308" s="62" t="n">
        <f aca="false">(J308-2451545)/36525</f>
        <v>0.228377823408624</v>
      </c>
      <c r="M308" s="63" t="n">
        <f aca="false">MOD(280.46061837+360.98564736629*(J308-2451545)+0.000387933*L308^2-L308^3/38710000+$B$7,360)</f>
        <v>57.2381445104256</v>
      </c>
      <c r="N308" s="30" t="n">
        <f aca="false">0.606433+1336.855225*L308 - INT(0.606433+1336.855225*L308)</f>
        <v>0.914519497946571</v>
      </c>
      <c r="O308" s="35" t="n">
        <f aca="false">22640*SIN(P308)-4586*SIN(P308-2*R308)+2370*SIN(2*R308)+769*SIN(2*P308)-668*SIN(Q308)-412*SIN(2*S308)-212*SIN(2*P308-2*R308)-206*SIN(P308+Q308-2*R308)+192*SIN(P308+2*R308)-165*SIN(Q308-2*R308)-125*SIN(R308)-110*SIN(P308+Q308)+148*SIN(P308-Q308)-55*SIN(2*S308-2*R308)</f>
        <v>13611.5786344799</v>
      </c>
      <c r="P308" s="32" t="n">
        <f aca="false">2*PI()*(0.374897+1325.55241*L308 - INT(0.374897+1325.55241*L308))</f>
        <v>0.638819051931958</v>
      </c>
      <c r="Q308" s="36" t="n">
        <f aca="false">2*PI()*(0.993133+99.997361*L308 - INT(0.993133+99.997361*L308))</f>
        <v>5.21700825406992</v>
      </c>
      <c r="R308" s="36" t="n">
        <f aca="false">2*PI()*(0.827361+1236.853086*L308 - INT(0.827361+1236.853086*L308))</f>
        <v>1.86721600439606</v>
      </c>
      <c r="S308" s="36" t="n">
        <f aca="false">2*PI()*(0.259086+1342.227825*L308 - INT(0.259086+1342.227825*L308))</f>
        <v>4.98982423394303</v>
      </c>
      <c r="T308" s="36" t="n">
        <f aca="false">S308+(O308+412*SIN(2*S308)+541*SIN(Q308))/206264.8062</f>
        <v>5.0524667882894</v>
      </c>
      <c r="U308" s="36" t="n">
        <f aca="false">S308-2*R308</f>
        <v>1.25539222515092</v>
      </c>
      <c r="V308" s="34" t="n">
        <f aca="false">-526*SIN(U308)+44*SIN(P308+U308)-31*SIN(-P308+U308)-23*SIN(Q308+U308)+11*SIN(-Q308+U308)-25*SIN(-2*P308+S308)+21*SIN(-P308+S308)</f>
        <v>-478.683211484948</v>
      </c>
      <c r="W308" s="36" t="n">
        <f aca="false">2*PI()*(N308+O308/1296000-INT(N308+O308/1296000))</f>
        <v>5.81208626806209</v>
      </c>
      <c r="X308" s="35" t="n">
        <f aca="false">W308*180/PI()</f>
        <v>333.008013325899</v>
      </c>
      <c r="Y308" s="36" t="n">
        <f aca="false">(18520*SIN(T308)+V308)/206264.8062</f>
        <v>-0.086965970293193</v>
      </c>
      <c r="Z308" s="36" t="n">
        <f aca="false">Y308*180/PI()</f>
        <v>-4.98278305906005</v>
      </c>
      <c r="AA308" s="36" t="n">
        <f aca="false">COS(Y308)*COS(W308)</f>
        <v>0.887702516402397</v>
      </c>
      <c r="AB308" s="36" t="n">
        <f aca="false">COS(Y308)*SIN(W308)</f>
        <v>-0.45215064955545</v>
      </c>
      <c r="AC308" s="36" t="n">
        <f aca="false">SIN(Y308)</f>
        <v>-0.0868563899746959</v>
      </c>
      <c r="AD308" s="36" t="n">
        <f aca="false">COS($A$10*(23.4393-46.815*L308/3600))*AB308-SIN($A$10*(23.4393-46.815*L308/3600))*AC308</f>
        <v>-0.380304034963231</v>
      </c>
      <c r="AE308" s="36" t="n">
        <f aca="false">SIN($A$10*(23.4393-46.815*L308/3600))*AB308+COS($A$10*(23.4393-46.815*L308/3600))*AC308</f>
        <v>-0.259524725919397</v>
      </c>
      <c r="AF308" s="36" t="n">
        <f aca="false">SQRT(1-AE308*AE308)</f>
        <v>0.965736463346219</v>
      </c>
      <c r="AG308" s="35" t="n">
        <f aca="false">ATAN(AE308/AF308)/$A$10</f>
        <v>-15.0418629394057</v>
      </c>
      <c r="AH308" s="36" t="n">
        <f aca="false">IF(24*ATAN(AD308/(AA308+AF308))/PI()&gt;0,24*ATAN(AD308/(AA308+AF308))/PI(),24*ATAN(AD308/(AA308+AF308))/PI()+24)</f>
        <v>22.4539358992389</v>
      </c>
      <c r="AI308" s="63" t="n">
        <f aca="false">IF(M308-15*AH308&gt;0,M308-15*AH308,360+M308-15*AH308)</f>
        <v>80.4291060218419</v>
      </c>
      <c r="AJ308" s="32" t="n">
        <f aca="false">0.950724+0.051818*COS(P308)+0.009531*COS(2*R308-P308)+0.007843*COS(2*R308)+0.002824*COS(2*P308)+0.000857*COS(2*R308+P308)+0.000533*COS(2*R308-Q308)*(1-0.002495*(J308-2415020)/36525)+0.000401*COS(2*R308-Q308-P308)*(1-0.002495*(J308-2415020)/36525)+0.00032*COS(P308-Q308)*(1-0.002495*(J308-2415020)/36525)-0.000271*COS(R308)</f>
        <v>0.976703036598111</v>
      </c>
      <c r="AK308" s="36" t="n">
        <f aca="false">ASIN(COS($A$10*$B$5)*COS($A$10*AG308)*COS($A$10*AI308)+SIN($A$10*$B$5)*SIN($A$10*AG308))/$A$10</f>
        <v>-5.4855365603273</v>
      </c>
      <c r="AL308" s="32" t="n">
        <f aca="false">ASIN((0.9983271+0.0016764*COS($A$10*2*$B$5))*COS($A$10*AK308)*SIN($A$10*AJ308))/$A$10</f>
        <v>0.970320013870927</v>
      </c>
      <c r="AM308" s="32" t="n">
        <f aca="false">AK308-AL308</f>
        <v>-6.45585657419823</v>
      </c>
      <c r="AN308" s="35" t="n">
        <f aca="false"> MOD(280.4664567 + 360007.6982779*L308/10 + 0.03032028*L308^2/100 + L308^3/49931000,360)</f>
        <v>222.243926819767</v>
      </c>
      <c r="AO308" s="32" t="n">
        <f aca="false"> AN308 + (1.9146 - 0.004817*L308 - 0.000014*L308^2)*SIN(Q308)+ (0.019993 - 0.000101*L308)*SIN(2*Q308)+ 0.00029*SIN(3*Q308)</f>
        <v>220.552042264019</v>
      </c>
      <c r="AP308" s="32" t="n">
        <f aca="false">ACOS(COS(W308-$A$10*AO308)*COS(Y308))/$A$10</f>
        <v>112.366505210286</v>
      </c>
      <c r="AQ308" s="34" t="n">
        <f aca="false">180 - AP308 -0.1468*(1-0.0549*SIN(Q308))*SIN($A$10*AP308)/(1-0.0167*SIN($A$10*AO308))</f>
        <v>67.4927428863178</v>
      </c>
      <c r="AR308" s="64" t="n">
        <f aca="false">SIN($A$10*AI308)</f>
        <v>0.986080627685668</v>
      </c>
      <c r="AS308" s="64" t="n">
        <f aca="false">COS($A$10*AI308)*SIN($A$10*$B$5) - TAN($A$10*AG308)*COS($A$10*$B$5)</f>
        <v>0.300106446627649</v>
      </c>
      <c r="AT308" s="24" t="n">
        <f aca="false">IF(OR(AND(AR308*AS308&gt;0), AND(AR308&lt;0,AS308&gt;0)), MOD(ATAN2(AS308,AR308)/$A$10+360,360),  ATAN2(AS308,AR308)/$A$10)</f>
        <v>73.07275542266</v>
      </c>
      <c r="AU308" s="39" t="n">
        <f aca="false"> 385000.56 + (-20905355*COS(P308) - 3699111*COS(2*R308-P308) - 2955968*COS(2*R308) - 569925*COS(2*P308) + (1-0.002516*L308)*48888*COS(Q308) - 3149*COS(2*S308)  +246158*COS(2*R308-2*P308) -(1 - 0.002516*L308)*152138*COS(2*R308-Q308-P308) -170733*COS(2*R308+P308) -(1 - 0.002516*L308)*204586*COS(2*R308-Q308) -(1 - 0.002516*L308)*129620*COS(Q308-P308)  + 108743*COS(R308) +(1-0.002516*L308)*104755*COS(Q308+P308) +10321*COS(2*R308-2*S308) +79661*COS(P308-2*S308) -34782*COS(4*R308-P308) -23210*COS(3*P308)  -21636*COS(4*R308-2*P308) +(1 - 0.002516*L308)*24208*COS(2*R308+Q308-P308) +(1 - 0.002516*L308)*30824*COS(2*R308+Q308) -8379*COS(R308-P308) -(1 - 0.002516*L308)*16675*COS(R308+Q308)  -(1 - 0.002516*L308)*12831*COS(2*R308-Q308+P308) -10445*COS(2*R308+2*P308) -11650*COS(4*R308) +14403*COS(2*R308-3*P308) -(1-0.002516*L308)*7003*COS(Q308-2*P308)  + (1 - 0.002516*L308)*10056*COS(2*R308-Q308-2*P308) +6322*COS(R308+P308) -(1 - 0.002516*L308)*(1-0.002516*L308)*9884*COS(2*R308-2*Q308) +(1-0.002516*L308)*5751*COS(Q308+2*P308) - (1-0.002516*L308)^2*4950*COS(2*R308-2*Q308-P308)  +4130*COS(2*R308+P308-2*S308) -(1-0.002516*L308)*3958*COS(4*R308-Q308-P308) +3258*COS(3*R308-P308) +(1 - 0.002516*L308)*2616*COS(2*R308+Q308+P308) -(1 - 0.002516*L308)*1897*COS(4*R308-Q308-2*P308)  -(1-0.002516*L308)^2*2117*COS(2*Q308-P308) +(1-0.002516*L308)^2*2354*COS(2*R308+2*Q308-P308) -1423*COS(4*R308+P308) -1117*COS(4*P308) -(1-0.002516*L308)*1571*COS(4*R308-Q308)  -1739*COS(R308-2*P308) -4421*COS(2*P308-2*S308) +(1-0.002516*L308)^2*1165*COS(2*Q308+P308) +8752*COS(2*R308-P308-2*S308))/1000</f>
        <v>374050.05178348</v>
      </c>
      <c r="AV308" s="54" t="n">
        <f aca="false">ATAN(0.99664719*TAN($A$10*input!$E$2))</f>
        <v>0.871010436227447</v>
      </c>
      <c r="AW308" s="54" t="n">
        <f aca="false">COS(AV308)</f>
        <v>0.644053912545845</v>
      </c>
      <c r="AX308" s="54" t="n">
        <f aca="false">0.99664719*SIN(AV308)</f>
        <v>0.762415269897027</v>
      </c>
      <c r="AY308" s="54" t="n">
        <f aca="false">6378.14/AU308</f>
        <v>0.0170515682850166</v>
      </c>
      <c r="AZ308" s="55" t="n">
        <f aca="false">M308-15*AH308</f>
        <v>-279.570893978158</v>
      </c>
      <c r="BA308" s="56" t="n">
        <f aca="false">COS($A$10*AG308)*SIN($A$10*AZ308)</f>
        <v>0.952294017955376</v>
      </c>
      <c r="BB308" s="56" t="n">
        <f aca="false">COS($A$10*AG308)*COS($A$10*AZ308)-AW308*AY308</f>
        <v>0.149588789651163</v>
      </c>
      <c r="BC308" s="56" t="n">
        <f aca="false">SIN($A$10*AG308)-AX308*AY308</f>
        <v>-0.272525101955585</v>
      </c>
      <c r="BD308" s="57" t="n">
        <f aca="false">SQRT(BA308^2+BB308^2+BC308^2)</f>
        <v>1.00175377903894</v>
      </c>
      <c r="BE308" s="58" t="n">
        <f aca="false">AU308*BD308</f>
        <v>374706.052923812</v>
      </c>
    </row>
    <row r="309" customFormat="false" ht="15" hidden="false" customHeight="false" outlineLevel="0" collapsed="false">
      <c r="D309" s="41" t="n">
        <f aca="false">K309-INT(275*E309/9)+IF($A$8="common year",2,1)*INT((E309+9)/12)+30</f>
        <v>4</v>
      </c>
      <c r="E309" s="41" t="n">
        <f aca="false">IF(K309&lt;32,1,INT(9*(IF($A$8="common year",2,1)+K309)/275+0.98))</f>
        <v>11</v>
      </c>
      <c r="F309" s="42" t="n">
        <f aca="false">AM309</f>
        <v>5.23648476516189</v>
      </c>
      <c r="G309" s="60" t="n">
        <f aca="false">F309+1.02/(TAN($A$10*(F309+10.3/(F309+5.11)))*60)</f>
        <v>5.39216277263832</v>
      </c>
      <c r="H309" s="43" t="n">
        <f aca="false">100*(1+COS($A$10*AQ309))/2</f>
        <v>78.8732551817206</v>
      </c>
      <c r="I309" s="43" t="n">
        <f aca="false">IF(AI309&gt;180,AT309-180,AT309+180)</f>
        <v>247.572612737861</v>
      </c>
      <c r="J309" s="61" t="n">
        <f aca="false">$J$2+K308</f>
        <v>2459887.5</v>
      </c>
      <c r="K309" s="21" t="n">
        <v>308</v>
      </c>
      <c r="L309" s="62" t="n">
        <f aca="false">(J309-2451545)/36525</f>
        <v>0.228405201916496</v>
      </c>
      <c r="M309" s="63" t="n">
        <f aca="false">MOD(280.46061837+360.98564736629*(J309-2451545)+0.000387933*L309^2-L309^3/38710000+$B$7,360)</f>
        <v>58.2237918819301</v>
      </c>
      <c r="N309" s="30" t="n">
        <f aca="false">0.606433+1336.855225*L309 - INT(0.606433+1336.855225*L309)</f>
        <v>0.951120599247076</v>
      </c>
      <c r="O309" s="35" t="n">
        <f aca="false">22640*SIN(P309)-4586*SIN(P309-2*R309)+2370*SIN(2*R309)+769*SIN(2*P309)-668*SIN(Q309)-412*SIN(2*S309)-212*SIN(2*P309-2*R309)-206*SIN(P309+Q309-2*R309)+192*SIN(P309+2*R309)-165*SIN(Q309-2*R309)-125*SIN(R309)-110*SIN(P309+Q309)+148*SIN(P309-Q309)-55*SIN(2*S309-2*R309)</f>
        <v>15906.2978430882</v>
      </c>
      <c r="P309" s="32" t="n">
        <f aca="false">2*PI()*(0.374897+1325.55241*L309 - INT(0.374897+1325.55241*L309))</f>
        <v>0.866846195707776</v>
      </c>
      <c r="Q309" s="36" t="n">
        <f aca="false">2*PI()*(0.993133+99.997361*L309 - INT(0.993133+99.997361*L309))</f>
        <v>5.23421022393693</v>
      </c>
      <c r="R309" s="36" t="n">
        <f aca="false">2*PI()*(0.827361+1236.853086*L309 - INT(0.827361+1236.853086*L309))</f>
        <v>2.07998471451508</v>
      </c>
      <c r="S309" s="36" t="n">
        <f aca="false">2*PI()*(0.259086+1342.227825*L309 - INT(0.259086+1342.227825*L309))</f>
        <v>5.22071995328403</v>
      </c>
      <c r="T309" s="36" t="n">
        <f aca="false">S309+(O309+412*SIN(2*S309)+541*SIN(Q309))/206264.8062</f>
        <v>5.29386355697956</v>
      </c>
      <c r="U309" s="36" t="n">
        <f aca="false">S309-2*R309</f>
        <v>1.06075052425387</v>
      </c>
      <c r="V309" s="34" t="n">
        <f aca="false">-526*SIN(U309)+44*SIN(P309+U309)-31*SIN(-P309+U309)-23*SIN(Q309+U309)+11*SIN(-Q309+U309)-25*SIN(-2*P309+S309)+21*SIN(-P309+S309)</f>
        <v>-425.826073554117</v>
      </c>
      <c r="W309" s="36" t="n">
        <f aca="false">2*PI()*(N309+O309/1296000-INT(N309+O309/1296000))</f>
        <v>6.0531828826464</v>
      </c>
      <c r="X309" s="35" t="n">
        <f aca="false">W309*180/PI()</f>
        <v>346.821831796472</v>
      </c>
      <c r="Y309" s="36" t="n">
        <f aca="false">(18520*SIN(T309)+V309)/206264.8062</f>
        <v>-0.0770957088310805</v>
      </c>
      <c r="Z309" s="36" t="n">
        <f aca="false">Y309*180/PI()</f>
        <v>-4.41725873459038</v>
      </c>
      <c r="AA309" s="36" t="n">
        <f aca="false">COS(Y309)*COS(W309)</f>
        <v>0.970773662864297</v>
      </c>
      <c r="AB309" s="36" t="n">
        <f aca="false">COS(Y309)*SIN(W309)</f>
        <v>-0.227302692215351</v>
      </c>
      <c r="AC309" s="36" t="n">
        <f aca="false">SIN(Y309)</f>
        <v>-0.0770193586099618</v>
      </c>
      <c r="AD309" s="36" t="n">
        <f aca="false">COS($A$10*(23.4393-46.815*L309/3600))*AB309-SIN($A$10*(23.4393-46.815*L309/3600))*AC309</f>
        <v>-0.177917926509173</v>
      </c>
      <c r="AE309" s="36" t="n">
        <f aca="false">SIN($A$10*(23.4393-46.815*L309/3600))*AB309+COS($A$10*(23.4393-46.815*L309/3600))*AC309</f>
        <v>-0.161070502934936</v>
      </c>
      <c r="AF309" s="36" t="n">
        <f aca="false">SQRT(1-AE309*AE309)</f>
        <v>0.986942902646494</v>
      </c>
      <c r="AG309" s="35" t="n">
        <f aca="false">ATAN(AE309/AF309)/$A$10</f>
        <v>-9.26903749029933</v>
      </c>
      <c r="AH309" s="36" t="n">
        <f aca="false">IF(24*ATAN(AD309/(AA309+AF309))/PI()&gt;0,24*ATAN(AD309/(AA309+AF309))/PI(),24*ATAN(AD309/(AA309+AF309))/PI()+24)</f>
        <v>23.3076273996467</v>
      </c>
      <c r="AI309" s="63" t="n">
        <f aca="false">IF(M309-15*AH309&gt;0,M309-15*AH309,360+M309-15*AH309)</f>
        <v>68.6093808872299</v>
      </c>
      <c r="AJ309" s="32" t="n">
        <f aca="false">0.950724+0.051818*COS(P309)+0.009531*COS(2*R309-P309)+0.007843*COS(2*R309)+0.002824*COS(2*P309)+0.000857*COS(2*R309+P309)+0.000533*COS(2*R309-Q309)*(1-0.002495*(J309-2415020)/36525)+0.000401*COS(2*R309-Q309-P309)*(1-0.002495*(J309-2415020)/36525)+0.00032*COS(P309-Q309)*(1-0.002495*(J309-2415020)/36525)-0.000271*COS(R309)</f>
        <v>0.970664712466309</v>
      </c>
      <c r="AK309" s="36" t="n">
        <f aca="false">ASIN(COS($A$10*$B$5)*COS($A$10*AG309)*COS($A$10*AI309)+SIN($A$10*$B$5)*SIN($A$10*AG309))/$A$10</f>
        <v>6.19957684276124</v>
      </c>
      <c r="AL309" s="32" t="n">
        <f aca="false">ASIN((0.9983271+0.0016764*COS($A$10*2*$B$5))*COS($A$10*AK309)*SIN($A$10*AJ309))/$A$10</f>
        <v>0.96309207759935</v>
      </c>
      <c r="AM309" s="32" t="n">
        <f aca="false">AK309-AL309</f>
        <v>5.23648476516189</v>
      </c>
      <c r="AN309" s="35" t="n">
        <f aca="false"> MOD(280.4664567 + 360007.6982779*L309/10 + 0.03032028*L309^2/100 + L309^3/49931000,360)</f>
        <v>223.229574183662</v>
      </c>
      <c r="AO309" s="32" t="n">
        <f aca="false"> AN309 + (1.9146 - 0.004817*L309 - 0.000014*L309^2)*SIN(Q309)+ (0.019993 - 0.000101*L309)*SIN(2*Q309)+ 0.00029*SIN(3*Q309)</f>
        <v>221.553480054521</v>
      </c>
      <c r="AP309" s="32" t="n">
        <f aca="false">ACOS(COS(W309-$A$10*AO309)*COS(Y309))/$A$10</f>
        <v>125.148079693032</v>
      </c>
      <c r="AQ309" s="34" t="n">
        <f aca="false">180 - AP309 -0.1468*(1-0.0549*SIN(Q309))*SIN($A$10*AP309)/(1-0.0167*SIN($A$10*AO309))</f>
        <v>54.7275516720501</v>
      </c>
      <c r="AR309" s="64" t="n">
        <f aca="false">SIN($A$10*AI309)</f>
        <v>0.931115543698897</v>
      </c>
      <c r="AS309" s="64" t="n">
        <f aca="false">COS($A$10*AI309)*SIN($A$10*$B$5) - TAN($A$10*AG309)*COS($A$10*$B$5)</f>
        <v>0.384298917557263</v>
      </c>
      <c r="AT309" s="24" t="n">
        <f aca="false">IF(OR(AND(AR309*AS309&gt;0), AND(AR309&lt;0,AS309&gt;0)), MOD(ATAN2(AS309,AR309)/$A$10+360,360),  ATAN2(AS309,AR309)/$A$10)</f>
        <v>67.5726127378612</v>
      </c>
      <c r="AU309" s="39" t="n">
        <f aca="false"> 385000.56 + (-20905355*COS(P309) - 3699111*COS(2*R309-P309) - 2955968*COS(2*R309) - 569925*COS(2*P309) + (1-0.002516*L309)*48888*COS(Q309) - 3149*COS(2*S309)  +246158*COS(2*R309-2*P309) -(1 - 0.002516*L309)*152138*COS(2*R309-Q309-P309) -170733*COS(2*R309+P309) -(1 - 0.002516*L309)*204586*COS(2*R309-Q309) -(1 - 0.002516*L309)*129620*COS(Q309-P309)  + 108743*COS(R309) +(1-0.002516*L309)*104755*COS(Q309+P309) +10321*COS(2*R309-2*S309) +79661*COS(P309-2*S309) -34782*COS(4*R309-P309) -23210*COS(3*P309)  -21636*COS(4*R309-2*P309) +(1 - 0.002516*L309)*24208*COS(2*R309+Q309-P309) +(1 - 0.002516*L309)*30824*COS(2*R309+Q309) -8379*COS(R309-P309) -(1 - 0.002516*L309)*16675*COS(R309+Q309)  -(1 - 0.002516*L309)*12831*COS(2*R309-Q309+P309) -10445*COS(2*R309+2*P309) -11650*COS(4*R309) +14403*COS(2*R309-3*P309) -(1-0.002516*L309)*7003*COS(Q309-2*P309)  + (1 - 0.002516*L309)*10056*COS(2*R309-Q309-2*P309) +6322*COS(R309+P309) -(1 - 0.002516*L309)*(1-0.002516*L309)*9884*COS(2*R309-2*Q309) +(1-0.002516*L309)*5751*COS(Q309+2*P309) - (1-0.002516*L309)^2*4950*COS(2*R309-2*Q309-P309)  +4130*COS(2*R309+P309-2*S309) -(1-0.002516*L309)*3958*COS(4*R309-Q309-P309) +3258*COS(3*R309-P309) +(1 - 0.002516*L309)*2616*COS(2*R309+Q309+P309) -(1 - 0.002516*L309)*1897*COS(4*R309-Q309-2*P309)  -(1-0.002516*L309)^2*2117*COS(2*Q309-P309) +(1-0.002516*L309)^2*2354*COS(2*R309+2*Q309-P309) -1423*COS(4*R309+P309) -1117*COS(4*P309) -(1-0.002516*L309)*1571*COS(4*R309-Q309)  -1739*COS(R309-2*P309) -4421*COS(2*P309-2*S309) +(1-0.002516*L309)^2*1165*COS(2*Q309+P309) +8752*COS(2*R309-P309-2*S309))/1000</f>
        <v>376453.940792965</v>
      </c>
      <c r="AV309" s="54" t="n">
        <f aca="false">ATAN(0.99664719*TAN($A$10*input!$E$2))</f>
        <v>0.871010436227447</v>
      </c>
      <c r="AW309" s="54" t="n">
        <f aca="false">COS(AV309)</f>
        <v>0.644053912545845</v>
      </c>
      <c r="AX309" s="54" t="n">
        <f aca="false">0.99664719*SIN(AV309)</f>
        <v>0.762415269897027</v>
      </c>
      <c r="AY309" s="54" t="n">
        <f aca="false">6378.14/AU309</f>
        <v>0.0169426835765487</v>
      </c>
      <c r="AZ309" s="55" t="n">
        <f aca="false">M309-15*AH309</f>
        <v>-291.39061911277</v>
      </c>
      <c r="BA309" s="56" t="n">
        <f aca="false">COS($A$10*AG309)*SIN($A$10*AZ309)</f>
        <v>0.918957877397457</v>
      </c>
      <c r="BB309" s="56" t="n">
        <f aca="false">COS($A$10*AG309)*COS($A$10*AZ309)-AW309*AY309</f>
        <v>0.349050097265934</v>
      </c>
      <c r="BC309" s="56" t="n">
        <f aca="false">SIN($A$10*AG309)-AX309*AY309</f>
        <v>-0.17398786360673</v>
      </c>
      <c r="BD309" s="57" t="n">
        <f aca="false">SQRT(BA309^2+BB309^2+BC309^2)</f>
        <v>0.99829420889567</v>
      </c>
      <c r="BE309" s="58" t="n">
        <f aca="false">AU309*BD309</f>
        <v>375811.78900957</v>
      </c>
    </row>
    <row r="310" customFormat="false" ht="15" hidden="false" customHeight="false" outlineLevel="0" collapsed="false">
      <c r="D310" s="41" t="n">
        <f aca="false">K310-INT(275*E310/9)+IF($A$8="common year",2,1)*INT((E310+9)/12)+30</f>
        <v>5</v>
      </c>
      <c r="E310" s="41" t="n">
        <f aca="false">IF(K310&lt;32,1,INT(9*(IF($A$8="common year",2,1)+K310)/275+0.98))</f>
        <v>11</v>
      </c>
      <c r="F310" s="42" t="n">
        <f aca="false">AM310</f>
        <v>16.8100984090993</v>
      </c>
      <c r="G310" s="60" t="n">
        <f aca="false">F310+1.02/(TAN($A$10*(F310+10.3/(F310+5.11)))*60)</f>
        <v>16.8647463487889</v>
      </c>
      <c r="H310" s="43" t="n">
        <f aca="false">100*(1+COS($A$10*AQ310))/2</f>
        <v>87.0877325352828</v>
      </c>
      <c r="I310" s="43" t="n">
        <f aca="false">IF(AI310&gt;180,AT310-180,AT310+180)</f>
        <v>241.963351646189</v>
      </c>
      <c r="J310" s="61" t="n">
        <f aca="false">$J$2+K309</f>
        <v>2459888.5</v>
      </c>
      <c r="K310" s="21" t="n">
        <v>309</v>
      </c>
      <c r="L310" s="62" t="n">
        <f aca="false">(J310-2451545)/36525</f>
        <v>0.228432580424367</v>
      </c>
      <c r="M310" s="63" t="n">
        <f aca="false">MOD(280.46061837+360.98564736629*(J310-2451545)+0.000387933*L310^2-L310^3/38710000+$B$7,360)</f>
        <v>59.2094392529689</v>
      </c>
      <c r="N310" s="30" t="n">
        <f aca="false">0.606433+1336.855225*L310 - INT(0.606433+1336.855225*L310)</f>
        <v>0.987721700547581</v>
      </c>
      <c r="O310" s="35" t="n">
        <f aca="false">22640*SIN(P310)-4586*SIN(P310-2*R310)+2370*SIN(2*R310)+769*SIN(2*P310)-668*SIN(Q310)-412*SIN(2*S310)-212*SIN(2*P310-2*R310)-206*SIN(P310+Q310-2*R310)+192*SIN(P310+2*R310)-165*SIN(Q310-2*R310)-125*SIN(R310)-110*SIN(P310+Q310)+148*SIN(P310-Q310)-55*SIN(2*S310-2*R310)</f>
        <v>17568.3949228419</v>
      </c>
      <c r="P310" s="32" t="n">
        <f aca="false">2*PI()*(0.374897+1325.55241*L310 - INT(0.374897+1325.55241*L310))</f>
        <v>1.09487333948324</v>
      </c>
      <c r="Q310" s="36" t="n">
        <f aca="false">2*PI()*(0.993133+99.997361*L310 - INT(0.993133+99.997361*L310))</f>
        <v>5.25141219380391</v>
      </c>
      <c r="R310" s="36" t="n">
        <f aca="false">2*PI()*(0.827361+1236.853086*L310 - INT(0.827361+1236.853086*L310))</f>
        <v>2.2927534246341</v>
      </c>
      <c r="S310" s="36" t="n">
        <f aca="false">2*PI()*(0.259086+1342.227825*L310 - INT(0.259086+1342.227825*L310))</f>
        <v>5.45161567262504</v>
      </c>
      <c r="T310" s="36" t="n">
        <f aca="false">S310+(O310+412*SIN(2*S310)+541*SIN(Q310))/206264.8062</f>
        <v>5.53254978214951</v>
      </c>
      <c r="U310" s="36" t="n">
        <f aca="false">S310-2*R310</f>
        <v>0.866108823356829</v>
      </c>
      <c r="V310" s="34" t="n">
        <f aca="false">-526*SIN(U310)+44*SIN(P310+U310)-31*SIN(-P310+U310)-23*SIN(Q310+U310)+11*SIN(-Q310+U310)-25*SIN(-2*P310+S310)+21*SIN(-P310+S310)</f>
        <v>-355.46778477048</v>
      </c>
      <c r="W310" s="36" t="n">
        <f aca="false">2*PI()*(N310+O310/1296000-INT(N310+O310/1296000))</f>
        <v>0.00802715142070246</v>
      </c>
      <c r="X310" s="35" t="n">
        <f aca="false">W310*180/PI()</f>
        <v>0.459921897918694</v>
      </c>
      <c r="Y310" s="36" t="n">
        <f aca="false">(18520*SIN(T310)+V310)/206264.8062</f>
        <v>-0.0629677317803165</v>
      </c>
      <c r="Z310" s="36" t="n">
        <f aca="false">Y310*180/PI()</f>
        <v>-3.60778527652392</v>
      </c>
      <c r="AA310" s="36" t="n">
        <f aca="false">COS(Y310)*COS(W310)</f>
        <v>0.997986033762197</v>
      </c>
      <c r="AB310" s="36" t="n">
        <f aca="false">COS(Y310)*SIN(W310)</f>
        <v>0.00801115707622372</v>
      </c>
      <c r="AC310" s="36" t="n">
        <f aca="false">SIN(Y310)</f>
        <v>-0.0629261295321726</v>
      </c>
      <c r="AD310" s="36" t="n">
        <f aca="false">COS($A$10*(23.4393-46.815*L310/3600))*AB310-SIN($A$10*(23.4393-46.815*L310/3600))*AC310</f>
        <v>0.0323778501140152</v>
      </c>
      <c r="AE310" s="36" t="n">
        <f aca="false">SIN($A$10*(23.4393-46.815*L310/3600))*AB310+COS($A$10*(23.4393-46.815*L310/3600))*AC310</f>
        <v>-0.0545486135258639</v>
      </c>
      <c r="AF310" s="36" t="n">
        <f aca="false">SQRT(1-AE310*AE310)</f>
        <v>0.998511115993411</v>
      </c>
      <c r="AG310" s="35" t="n">
        <f aca="false">ATAN(AE310/AF310)/$A$10</f>
        <v>-3.12695737969334</v>
      </c>
      <c r="AH310" s="36" t="n">
        <f aca="false">IF(24*ATAN(AD310/(AA310+AF310))/PI()&gt;0,24*ATAN(AD310/(AA310+AF310))/PI(),24*ATAN(AD310/(AA310+AF310))/PI()+24)</f>
        <v>0.12388040419513</v>
      </c>
      <c r="AI310" s="63" t="n">
        <f aca="false">IF(M310-15*AH310&gt;0,M310-15*AH310,360+M310-15*AH310)</f>
        <v>57.3512331900419</v>
      </c>
      <c r="AJ310" s="32" t="n">
        <f aca="false">0.950724+0.051818*COS(P310)+0.009531*COS(2*R310-P310)+0.007843*COS(2*R310)+0.002824*COS(2*P310)+0.000857*COS(2*R310+P310)+0.000533*COS(2*R310-Q310)*(1-0.002495*(J310-2415020)/36525)+0.000401*COS(2*R310-Q310-P310)*(1-0.002495*(J310-2415020)/36525)+0.00032*COS(P310-Q310)*(1-0.002495*(J310-2415020)/36525)-0.000271*COS(R310)</f>
        <v>0.963936755119087</v>
      </c>
      <c r="AK310" s="36" t="n">
        <f aca="false">ASIN(COS($A$10*$B$5)*COS($A$10*AG310)*COS($A$10*AI310)+SIN($A$10*$B$5)*SIN($A$10*AG310))/$A$10</f>
        <v>17.7264609290602</v>
      </c>
      <c r="AL310" s="32" t="n">
        <f aca="false">ASIN((0.9983271+0.0016764*COS($A$10*2*$B$5))*COS($A$10*AK310)*SIN($A$10*AJ310))/$A$10</f>
        <v>0.916362519960876</v>
      </c>
      <c r="AM310" s="32" t="n">
        <f aca="false">AK310-AL310</f>
        <v>16.8100984090993</v>
      </c>
      <c r="AN310" s="35" t="n">
        <f aca="false"> MOD(280.4664567 + 360007.6982779*L310/10 + 0.03032028*L310^2/100 + L310^3/49931000,360)</f>
        <v>224.215221547558</v>
      </c>
      <c r="AO310" s="32" t="n">
        <f aca="false"> AN310 + (1.9146 - 0.004817*L310 - 0.000014*L310^2)*SIN(Q310)+ (0.019993 - 0.000101*L310)*SIN(2*Q310)+ 0.00029*SIN(3*Q310)</f>
        <v>222.55542911544</v>
      </c>
      <c r="AP310" s="32" t="n">
        <f aca="false">ACOS(COS(W310-$A$10*AO310)*COS(Y310))/$A$10</f>
        <v>137.778957371715</v>
      </c>
      <c r="AQ310" s="34" t="n">
        <f aca="false">180 - AP310 -0.1468*(1-0.0549*SIN(Q310))*SIN($A$10*AP310)/(1-0.0167*SIN($A$10*AO310))</f>
        <v>42.1188998406804</v>
      </c>
      <c r="AR310" s="64" t="n">
        <f aca="false">SIN($A$10*AI310)</f>
        <v>0.841993521788778</v>
      </c>
      <c r="AS310" s="64" t="n">
        <f aca="false">COS($A$10*AI310)*SIN($A$10*$B$5) - TAN($A$10*AG310)*COS($A$10*$B$5)</f>
        <v>0.448386961336531</v>
      </c>
      <c r="AT310" s="24" t="n">
        <f aca="false">IF(OR(AND(AR310*AS310&gt;0), AND(AR310&lt;0,AS310&gt;0)), MOD(ATAN2(AS310,AR310)/$A$10+360,360),  ATAN2(AS310,AR310)/$A$10)</f>
        <v>61.9633516461892</v>
      </c>
      <c r="AU310" s="39" t="n">
        <f aca="false"> 385000.56 + (-20905355*COS(P310) - 3699111*COS(2*R310-P310) - 2955968*COS(2*R310) - 569925*COS(2*P310) + (1-0.002516*L310)*48888*COS(Q310) - 3149*COS(2*S310)  +246158*COS(2*R310-2*P310) -(1 - 0.002516*L310)*152138*COS(2*R310-Q310-P310) -170733*COS(2*R310+P310) -(1 - 0.002516*L310)*204586*COS(2*R310-Q310) -(1 - 0.002516*L310)*129620*COS(Q310-P310)  + 108743*COS(R310) +(1-0.002516*L310)*104755*COS(Q310+P310) +10321*COS(2*R310-2*S310) +79661*COS(P310-2*S310) -34782*COS(4*R310-P310) -23210*COS(3*P310)  -21636*COS(4*R310-2*P310) +(1 - 0.002516*L310)*24208*COS(2*R310+Q310-P310) +(1 - 0.002516*L310)*30824*COS(2*R310+Q310) -8379*COS(R310-P310) -(1 - 0.002516*L310)*16675*COS(R310+Q310)  -(1 - 0.002516*L310)*12831*COS(2*R310-Q310+P310) -10445*COS(2*R310+2*P310) -11650*COS(4*R310) +14403*COS(2*R310-3*P310) -(1-0.002516*L310)*7003*COS(Q310-2*P310)  + (1 - 0.002516*L310)*10056*COS(2*R310-Q310-2*P310) +6322*COS(R310+P310) -(1 - 0.002516*L310)*(1-0.002516*L310)*9884*COS(2*R310-2*Q310) +(1-0.002516*L310)*5751*COS(Q310+2*P310) - (1-0.002516*L310)^2*4950*COS(2*R310-2*Q310-P310)  +4130*COS(2*R310+P310-2*S310) -(1-0.002516*L310)*3958*COS(4*R310-Q310-P310) +3258*COS(3*R310-P310) +(1 - 0.002516*L310)*2616*COS(2*R310+Q310+P310) -(1 - 0.002516*L310)*1897*COS(4*R310-Q310-2*P310)  -(1-0.002516*L310)^2*2117*COS(2*Q310-P310) +(1-0.002516*L310)^2*2354*COS(2*R310+2*Q310-P310) -1423*COS(4*R310+P310) -1117*COS(4*P310) -(1-0.002516*L310)*1571*COS(4*R310-Q310)  -1739*COS(R310-2*P310) -4421*COS(2*P310-2*S310) +(1-0.002516*L310)^2*1165*COS(2*Q310+P310) +8752*COS(2*R310-P310-2*S310))/1000</f>
        <v>379166.077554248</v>
      </c>
      <c r="AV310" s="54" t="n">
        <f aca="false">ATAN(0.99664719*TAN($A$10*input!$E$2))</f>
        <v>0.871010436227447</v>
      </c>
      <c r="AW310" s="54" t="n">
        <f aca="false">COS(AV310)</f>
        <v>0.644053912545845</v>
      </c>
      <c r="AX310" s="54" t="n">
        <f aca="false">0.99664719*SIN(AV310)</f>
        <v>0.762415269897027</v>
      </c>
      <c r="AY310" s="54" t="n">
        <f aca="false">6378.14/AU310</f>
        <v>0.0168214942674756</v>
      </c>
      <c r="AZ310" s="55" t="n">
        <f aca="false">M310-15*AH310</f>
        <v>57.3512331900419</v>
      </c>
      <c r="BA310" s="56" t="n">
        <f aca="false">COS($A$10*AG310)*SIN($A$10*AZ310)</f>
        <v>0.840739891100534</v>
      </c>
      <c r="BB310" s="56" t="n">
        <f aca="false">COS($A$10*AG310)*COS($A$10*AZ310)-AW310*AY310</f>
        <v>0.527850452167814</v>
      </c>
      <c r="BC310" s="56" t="n">
        <f aca="false">SIN($A$10*AG310)-AX310*AY310</f>
        <v>-0.0673735776178726</v>
      </c>
      <c r="BD310" s="57" t="n">
        <f aca="false">SQRT(BA310^2+BB310^2+BC310^2)</f>
        <v>0.994991891073759</v>
      </c>
      <c r="BE310" s="58" t="n">
        <f aca="false">AU310*BD310</f>
        <v>377267.172536721</v>
      </c>
    </row>
    <row r="311" customFormat="false" ht="15" hidden="false" customHeight="false" outlineLevel="0" collapsed="false">
      <c r="D311" s="41" t="n">
        <f aca="false">K311-INT(275*E311/9)+IF($A$8="common year",2,1)*INT((E311+9)/12)+30</f>
        <v>6</v>
      </c>
      <c r="E311" s="41" t="n">
        <f aca="false">IF(K311&lt;32,1,INT(9*(IF($A$8="common year",2,1)+K311)/275+0.98))</f>
        <v>11</v>
      </c>
      <c r="F311" s="42" t="n">
        <f aca="false">AM311</f>
        <v>28.1025132111266</v>
      </c>
      <c r="G311" s="60" t="n">
        <f aca="false">F311+1.02/(TAN($A$10*(F311+10.3/(F311+5.11)))*60)</f>
        <v>28.1339374852065</v>
      </c>
      <c r="H311" s="43" t="n">
        <f aca="false">100*(1+COS($A$10*AQ311))/2</f>
        <v>93.4378653017593</v>
      </c>
      <c r="I311" s="43" t="n">
        <f aca="false">IF(AI311&gt;180,AT311-180,AT311+180)</f>
        <v>235.703512122199</v>
      </c>
      <c r="J311" s="61" t="n">
        <f aca="false">$J$2+K310</f>
        <v>2459889.5</v>
      </c>
      <c r="K311" s="21" t="n">
        <v>310</v>
      </c>
      <c r="L311" s="62" t="n">
        <f aca="false">(J311-2451545)/36525</f>
        <v>0.228459958932238</v>
      </c>
      <c r="M311" s="63" t="n">
        <f aca="false">MOD(280.46061837+360.98564736629*(J311-2451545)+0.000387933*L311^2-L311^3/38710000+$B$7,360)</f>
        <v>60.1950866244733</v>
      </c>
      <c r="N311" s="30" t="n">
        <f aca="false">0.606433+1336.855225*L311 - INT(0.606433+1336.855225*L311)</f>
        <v>0.0243228018480295</v>
      </c>
      <c r="O311" s="35" t="n">
        <f aca="false">22640*SIN(P311)-4586*SIN(P311-2*R311)+2370*SIN(2*R311)+769*SIN(2*P311)-668*SIN(Q311)-412*SIN(2*S311)-212*SIN(2*P311-2*R311)-206*SIN(P311+Q311-2*R311)+192*SIN(P311+2*R311)-165*SIN(Q311-2*R311)-125*SIN(R311)-110*SIN(P311+Q311)+148*SIN(P311-Q311)-55*SIN(2*S311-2*R311)</f>
        <v>18521.9502824526</v>
      </c>
      <c r="P311" s="32" t="n">
        <f aca="false">2*PI()*(0.374897+1325.55241*L311 - INT(0.374897+1325.55241*L311))</f>
        <v>1.32290048325905</v>
      </c>
      <c r="Q311" s="36" t="n">
        <f aca="false">2*PI()*(0.993133+99.997361*L311 - INT(0.993133+99.997361*L311))</f>
        <v>5.2686141636709</v>
      </c>
      <c r="R311" s="36" t="n">
        <f aca="false">2*PI()*(0.827361+1236.853086*L311 - INT(0.827361+1236.853086*L311))</f>
        <v>2.50552213475277</v>
      </c>
      <c r="S311" s="36" t="n">
        <f aca="false">2*PI()*(0.259086+1342.227825*L311 - INT(0.259086+1342.227825*L311))</f>
        <v>5.68251139196604</v>
      </c>
      <c r="T311" s="36" t="n">
        <f aca="false">S311+(O311+412*SIN(2*S311)+541*SIN(Q311))/206264.8062</f>
        <v>5.76821822247999</v>
      </c>
      <c r="U311" s="36" t="n">
        <f aca="false">S311-2*R311</f>
        <v>0.671467122460499</v>
      </c>
      <c r="V311" s="34" t="n">
        <f aca="false">-526*SIN(U311)+44*SIN(P311+U311)-31*SIN(-P311+U311)-23*SIN(Q311+U311)+11*SIN(-Q311+U311)-25*SIN(-2*P311+S311)+21*SIN(-P311+S311)</f>
        <v>-271.994930576692</v>
      </c>
      <c r="W311" s="36" t="n">
        <f aca="false">2*PI()*(N311+O311/1296000-INT(N311+O311/1296000))</f>
        <v>0.242621620178616</v>
      </c>
      <c r="X311" s="35" t="n">
        <f aca="false">W311*180/PI()</f>
        <v>13.9011948548608</v>
      </c>
      <c r="Y311" s="36" t="n">
        <f aca="false">(18520*SIN(T311)+V311)/206264.8062</f>
        <v>-0.0455395662493631</v>
      </c>
      <c r="Z311" s="36" t="n">
        <f aca="false">Y311*180/PI()</f>
        <v>-2.60922494694491</v>
      </c>
      <c r="AA311" s="36" t="n">
        <f aca="false">COS(Y311)*COS(W311)</f>
        <v>0.969705089548014</v>
      </c>
      <c r="AB311" s="36" t="n">
        <f aca="false">COS(Y311)*SIN(W311)</f>
        <v>0.239999209238233</v>
      </c>
      <c r="AC311" s="36" t="n">
        <f aca="false">SIN(Y311)</f>
        <v>-0.0455238274939719</v>
      </c>
      <c r="AD311" s="36" t="n">
        <f aca="false">COS($A$10*(23.4393-46.815*L311/3600))*AB311-SIN($A$10*(23.4393-46.815*L311/3600))*AC311</f>
        <v>0.238306083789703</v>
      </c>
      <c r="AE311" s="36" t="n">
        <f aca="false">SIN($A$10*(23.4393-46.815*L311/3600))*AB311+COS($A$10*(23.4393-46.815*L311/3600))*AC311</f>
        <v>0.053686588022459</v>
      </c>
      <c r="AF311" s="36" t="n">
        <f aca="false">SQRT(1-AE311*AE311)</f>
        <v>0.998557835213618</v>
      </c>
      <c r="AG311" s="35" t="n">
        <f aca="false">ATAN(AE311/AF311)/$A$10</f>
        <v>3.07749447048287</v>
      </c>
      <c r="AH311" s="36" t="n">
        <f aca="false">IF(24*ATAN(AD311/(AA311+AF311))/PI()&gt;0,24*ATAN(AD311/(AA311+AF311))/PI(),24*ATAN(AD311/(AA311+AF311))/PI()+24)</f>
        <v>0.920459407839352</v>
      </c>
      <c r="AI311" s="63" t="n">
        <f aca="false">IF(M311-15*AH311&gt;0,M311-15*AH311,360+M311-15*AH311)</f>
        <v>46.3881955068831</v>
      </c>
      <c r="AJ311" s="32" t="n">
        <f aca="false">0.950724+0.051818*COS(P311)+0.009531*COS(2*R311-P311)+0.007843*COS(2*R311)+0.002824*COS(2*P311)+0.000857*COS(2*R311+P311)+0.000533*COS(2*R311-Q311)*(1-0.002495*(J311-2415020)/36525)+0.000401*COS(2*R311-Q311-P311)*(1-0.002495*(J311-2415020)/36525)+0.00032*COS(P311-Q311)*(1-0.002495*(J311-2415020)/36525)-0.000271*COS(R311)</f>
        <v>0.95648203161304</v>
      </c>
      <c r="AK311" s="36" t="n">
        <f aca="false">ASIN(COS($A$10*$B$5)*COS($A$10*AG311)*COS($A$10*AI311)+SIN($A$10*$B$5)*SIN($A$10*AG311))/$A$10</f>
        <v>28.9379199953193</v>
      </c>
      <c r="AL311" s="32" t="n">
        <f aca="false">ASIN((0.9983271+0.0016764*COS($A$10*2*$B$5))*COS($A$10*AK311)*SIN($A$10*AJ311))/$A$10</f>
        <v>0.83540678419273</v>
      </c>
      <c r="AM311" s="32" t="n">
        <f aca="false">AK311-AL311</f>
        <v>28.1025132111266</v>
      </c>
      <c r="AN311" s="35" t="n">
        <f aca="false"> MOD(280.4664567 + 360007.6982779*L311/10 + 0.03032028*L311^2/100 + L311^3/49931000,360)</f>
        <v>225.200868911454</v>
      </c>
      <c r="AO311" s="32" t="n">
        <f aca="false"> AN311 + (1.9146 - 0.004817*L311 - 0.000014*L311^2)*SIN(Q311)+ (0.019993 - 0.000101*L311)*SIN(2*Q311)+ 0.00029*SIN(3*Q311)</f>
        <v>223.557884956094</v>
      </c>
      <c r="AP311" s="32" t="n">
        <f aca="false">ACOS(COS(W311-$A$10*AO311)*COS(Y311))/$A$10</f>
        <v>150.239151536722</v>
      </c>
      <c r="AQ311" s="34" t="n">
        <f aca="false">180 - AP311 -0.1468*(1-0.0549*SIN(Q311))*SIN($A$10*AP311)/(1-0.0167*SIN($A$10*AO311))</f>
        <v>29.6854499822035</v>
      </c>
      <c r="AR311" s="64" t="n">
        <f aca="false">SIN($A$10*AI311)</f>
        <v>0.724029765636012</v>
      </c>
      <c r="AS311" s="64" t="n">
        <f aca="false">COS($A$10*AI311)*SIN($A$10*$B$5) - TAN($A$10*AG311)*COS($A$10*$B$5)</f>
        <v>0.493834588079051</v>
      </c>
      <c r="AT311" s="24" t="n">
        <f aca="false">IF(OR(AND(AR311*AS311&gt;0), AND(AR311&lt;0,AS311&gt;0)), MOD(ATAN2(AS311,AR311)/$A$10+360,360),  ATAN2(AS311,AR311)/$A$10)</f>
        <v>55.7035121221989</v>
      </c>
      <c r="AU311" s="39" t="n">
        <f aca="false"> 385000.56 + (-20905355*COS(P311) - 3699111*COS(2*R311-P311) - 2955968*COS(2*R311) - 569925*COS(2*P311) + (1-0.002516*L311)*48888*COS(Q311) - 3149*COS(2*S311)  +246158*COS(2*R311-2*P311) -(1 - 0.002516*L311)*152138*COS(2*R311-Q311-P311) -170733*COS(2*R311+P311) -(1 - 0.002516*L311)*204586*COS(2*R311-Q311) -(1 - 0.002516*L311)*129620*COS(Q311-P311)  + 108743*COS(R311) +(1-0.002516*L311)*104755*COS(Q311+P311) +10321*COS(2*R311-2*S311) +79661*COS(P311-2*S311) -34782*COS(4*R311-P311) -23210*COS(3*P311)  -21636*COS(4*R311-2*P311) +(1 - 0.002516*L311)*24208*COS(2*R311+Q311-P311) +(1 - 0.002516*L311)*30824*COS(2*R311+Q311) -8379*COS(R311-P311) -(1 - 0.002516*L311)*16675*COS(R311+Q311)  -(1 - 0.002516*L311)*12831*COS(2*R311-Q311+P311) -10445*COS(2*R311+2*P311) -11650*COS(4*R311) +14403*COS(2*R311-3*P311) -(1-0.002516*L311)*7003*COS(Q311-2*P311)  + (1 - 0.002516*L311)*10056*COS(2*R311-Q311-2*P311) +6322*COS(R311+P311) -(1 - 0.002516*L311)*(1-0.002516*L311)*9884*COS(2*R311-2*Q311) +(1-0.002516*L311)*5751*COS(Q311+2*P311) - (1-0.002516*L311)^2*4950*COS(2*R311-2*Q311-P311)  +4130*COS(2*R311+P311-2*S311) -(1-0.002516*L311)*3958*COS(4*R311-Q311-P311) +3258*COS(3*R311-P311) +(1 - 0.002516*L311)*2616*COS(2*R311+Q311+P311) -(1 - 0.002516*L311)*1897*COS(4*R311-Q311-2*P311)  -(1-0.002516*L311)^2*2117*COS(2*Q311-P311) +(1-0.002516*L311)^2*2354*COS(2*R311+2*Q311-P311) -1423*COS(4*R311+P311) -1117*COS(4*P311) -(1-0.002516*L311)*1571*COS(4*R311-Q311)  -1739*COS(R311-2*P311) -4421*COS(2*P311-2*S311) +(1-0.002516*L311)^2*1165*COS(2*Q311+P311) +8752*COS(2*R311-P311-2*S311))/1000</f>
        <v>382182.067125915</v>
      </c>
      <c r="AV311" s="54" t="n">
        <f aca="false">ATAN(0.99664719*TAN($A$10*input!$E$2))</f>
        <v>0.871010436227447</v>
      </c>
      <c r="AW311" s="54" t="n">
        <f aca="false">COS(AV311)</f>
        <v>0.644053912545845</v>
      </c>
      <c r="AX311" s="54" t="n">
        <f aca="false">0.99664719*SIN(AV311)</f>
        <v>0.762415269897027</v>
      </c>
      <c r="AY311" s="54" t="n">
        <f aca="false">6378.14/AU311</f>
        <v>0.0166887474547534</v>
      </c>
      <c r="AZ311" s="55" t="n">
        <f aca="false">M311-15*AH311</f>
        <v>46.3881955068831</v>
      </c>
      <c r="BA311" s="56" t="n">
        <f aca="false">COS($A$10*AG311)*SIN($A$10*AZ311)</f>
        <v>0.722985595403719</v>
      </c>
      <c r="BB311" s="56" t="n">
        <f aca="false">COS($A$10*AG311)*COS($A$10*AZ311)-AW311*AY311</f>
        <v>0.678025514986689</v>
      </c>
      <c r="BC311" s="56" t="n">
        <f aca="false">SIN($A$10*AG311)-AX311*AY311</f>
        <v>0.0409628321274999</v>
      </c>
      <c r="BD311" s="57" t="n">
        <f aca="false">SQRT(BA311^2+BB311^2+BC311^2)</f>
        <v>0.992020525871386</v>
      </c>
      <c r="BE311" s="58" t="n">
        <f aca="false">AU311*BD311</f>
        <v>379132.455208864</v>
      </c>
    </row>
    <row r="312" customFormat="false" ht="15" hidden="false" customHeight="false" outlineLevel="0" collapsed="false">
      <c r="D312" s="41" t="n">
        <f aca="false">K312-INT(275*E312/9)+IF($A$8="common year",2,1)*INT((E312+9)/12)+30</f>
        <v>7</v>
      </c>
      <c r="E312" s="41" t="n">
        <f aca="false">IF(K312&lt;32,1,INT(9*(IF($A$8="common year",2,1)+K312)/275+0.98))</f>
        <v>11</v>
      </c>
      <c r="F312" s="42" t="n">
        <f aca="false">AM312</f>
        <v>38.8869923697946</v>
      </c>
      <c r="G312" s="60" t="n">
        <f aca="false">F312+1.02/(TAN($A$10*(F312+10.3/(F312+5.11)))*60)</f>
        <v>38.9078951330709</v>
      </c>
      <c r="H312" s="43" t="n">
        <f aca="false">100*(1+COS($A$10*AQ312))/2</f>
        <v>97.6984391363856</v>
      </c>
      <c r="I312" s="43" t="n">
        <f aca="false">IF(AI312&gt;180,AT312-180,AT312+180)</f>
        <v>228.056192149932</v>
      </c>
      <c r="J312" s="61" t="n">
        <f aca="false">$J$2+K311</f>
        <v>2459890.5</v>
      </c>
      <c r="K312" s="21" t="n">
        <v>311</v>
      </c>
      <c r="L312" s="62" t="n">
        <f aca="false">(J312-2451545)/36525</f>
        <v>0.22848733744011</v>
      </c>
      <c r="M312" s="63" t="n">
        <f aca="false">MOD(280.46061837+360.98564736629*(J312-2451545)+0.000387933*L312^2-L312^3/38710000+$B$7,360)</f>
        <v>61.1807339955121</v>
      </c>
      <c r="N312" s="30" t="n">
        <f aca="false">0.606433+1336.855225*L312 - INT(0.606433+1336.855225*L312)</f>
        <v>0.0609239031485345</v>
      </c>
      <c r="O312" s="35" t="n">
        <f aca="false">22640*SIN(P312)-4586*SIN(P312-2*R312)+2370*SIN(2*R312)+769*SIN(2*P312)-668*SIN(Q312)-412*SIN(2*S312)-212*SIN(2*P312-2*R312)-206*SIN(P312+Q312-2*R312)+192*SIN(P312+2*R312)-165*SIN(Q312-2*R312)-125*SIN(R312)-110*SIN(P312+Q312)+148*SIN(P312-Q312)-55*SIN(2*S312-2*R312)</f>
        <v>18690.5610392389</v>
      </c>
      <c r="P312" s="32" t="n">
        <f aca="false">2*PI()*(0.374897+1325.55241*L312 - INT(0.374897+1325.55241*L312))</f>
        <v>1.55092762703487</v>
      </c>
      <c r="Q312" s="36" t="n">
        <f aca="false">2*PI()*(0.993133+99.997361*L312 - INT(0.993133+99.997361*L312))</f>
        <v>5.2858161335379</v>
      </c>
      <c r="R312" s="36" t="n">
        <f aca="false">2*PI()*(0.827361+1236.853086*L312 - INT(0.827361+1236.853086*L312))</f>
        <v>2.7182908448718</v>
      </c>
      <c r="S312" s="36" t="n">
        <f aca="false">2*PI()*(0.259086+1342.227825*L312 - INT(0.259086+1342.227825*L312))</f>
        <v>5.91340711130705</v>
      </c>
      <c r="T312" s="36" t="n">
        <f aca="false">S312+(O312+412*SIN(2*S312)+541*SIN(Q312))/206264.8062</f>
        <v>6.00047200869221</v>
      </c>
      <c r="U312" s="36" t="n">
        <f aca="false">S312-2*R312</f>
        <v>0.476825421563455</v>
      </c>
      <c r="V312" s="34" t="n">
        <f aca="false">-526*SIN(U312)+44*SIN(P312+U312)-31*SIN(-P312+U312)-23*SIN(Q312+U312)+11*SIN(-Q312+U312)-25*SIN(-2*P312+S312)+21*SIN(-P312+S312)</f>
        <v>-180.115588667455</v>
      </c>
      <c r="W312" s="36" t="n">
        <f aca="false">2*PI()*(N312+O312/1296000-INT(N312+O312/1296000))</f>
        <v>0.473410570113263</v>
      </c>
      <c r="X312" s="35" t="n">
        <f aca="false">W312*180/PI()</f>
        <v>27.1244276443721</v>
      </c>
      <c r="Y312" s="36" t="n">
        <f aca="false">(18520*SIN(T312)+V312)/206264.8062</f>
        <v>-0.0259205470489755</v>
      </c>
      <c r="Z312" s="36" t="n">
        <f aca="false">Y312*180/PI()</f>
        <v>-1.48513794857658</v>
      </c>
      <c r="AA312" s="36" t="n">
        <f aca="false">COS(Y312)*COS(W312)</f>
        <v>0.889719531664576</v>
      </c>
      <c r="AB312" s="36" t="n">
        <f aca="false">COS(Y312)*SIN(W312)</f>
        <v>0.455771248186707</v>
      </c>
      <c r="AC312" s="36" t="n">
        <f aca="false">SIN(Y312)</f>
        <v>-0.0259176445862635</v>
      </c>
      <c r="AD312" s="36" t="n">
        <f aca="false">COS($A$10*(23.4393-46.815*L312/3600))*AB312-SIN($A$10*(23.4393-46.815*L312/3600))*AC312</f>
        <v>0.428479535164533</v>
      </c>
      <c r="AE312" s="36" t="n">
        <f aca="false">SIN($A$10*(23.4393-46.815*L312/3600))*AB312+COS($A$10*(23.4393-46.815*L312/3600))*AC312</f>
        <v>0.157494263132832</v>
      </c>
      <c r="AF312" s="36" t="n">
        <f aca="false">SQRT(1-AE312*AE312)</f>
        <v>0.987519902118558</v>
      </c>
      <c r="AG312" s="35" t="n">
        <f aca="false">ATAN(AE312/AF312)/$A$10</f>
        <v>9.06148410147543</v>
      </c>
      <c r="AH312" s="36" t="n">
        <f aca="false">IF(24*ATAN(AD312/(AA312+AF312))/PI()&gt;0,24*ATAN(AD312/(AA312+AF312))/PI(),24*ATAN(AD312/(AA312+AF312))/PI()+24)</f>
        <v>1.71433168363238</v>
      </c>
      <c r="AI312" s="63" t="n">
        <f aca="false">IF(M312-15*AH312&gt;0,M312-15*AH312,360+M312-15*AH312)</f>
        <v>35.4657587410265</v>
      </c>
      <c r="AJ312" s="32" t="n">
        <f aca="false">0.950724+0.051818*COS(P312)+0.009531*COS(2*R312-P312)+0.007843*COS(2*R312)+0.002824*COS(2*P312)+0.000857*COS(2*R312+P312)+0.000533*COS(2*R312-Q312)*(1-0.002495*(J312-2415020)/36525)+0.000401*COS(2*R312-Q312-P312)*(1-0.002495*(J312-2415020)/36525)+0.00032*COS(P312-Q312)*(1-0.002495*(J312-2415020)/36525)-0.000271*COS(R312)</f>
        <v>0.948344644079843</v>
      </c>
      <c r="AK312" s="36" t="n">
        <f aca="false">ASIN(COS($A$10*$B$5)*COS($A$10*AG312)*COS($A$10*AI312)+SIN($A$10*$B$5)*SIN($A$10*AG312))/$A$10</f>
        <v>39.616086327647</v>
      </c>
      <c r="AL312" s="32" t="n">
        <f aca="false">ASIN((0.9983271+0.0016764*COS($A$10*2*$B$5))*COS($A$10*AK312)*SIN($A$10*AJ312))/$A$10</f>
        <v>0.729093957852444</v>
      </c>
      <c r="AM312" s="32" t="n">
        <f aca="false">AK312-AL312</f>
        <v>38.8869923697946</v>
      </c>
      <c r="AN312" s="35" t="n">
        <f aca="false"> MOD(280.4664567 + 360007.6982779*L312/10 + 0.03032028*L312^2/100 + L312^3/49931000,360)</f>
        <v>226.186516275351</v>
      </c>
      <c r="AO312" s="32" t="n">
        <f aca="false"> AN312 + (1.9146 - 0.004817*L312 - 0.000014*L312^2)*SIN(Q312)+ (0.019993 - 0.000101*L312)*SIN(2*Q312)+ 0.00029*SIN(3*Q312)</f>
        <v>224.560842917278</v>
      </c>
      <c r="AP312" s="32" t="n">
        <f aca="false">ACOS(COS(W312-$A$10*AO312)*COS(Y312))/$A$10</f>
        <v>162.502408867158</v>
      </c>
      <c r="AQ312" s="34" t="n">
        <f aca="false">180 - AP312 -0.1468*(1-0.0549*SIN(Q312))*SIN($A$10*AP312)/(1-0.0167*SIN($A$10*AO312))</f>
        <v>17.4519526235416</v>
      </c>
      <c r="AR312" s="64" t="n">
        <f aca="false">SIN($A$10*AI312)</f>
        <v>0.580216318118417</v>
      </c>
      <c r="AS312" s="64" t="n">
        <f aca="false">COS($A$10*AI312)*SIN($A$10*$B$5) - TAN($A$10*AG312)*COS($A$10*$B$5)</f>
        <v>0.521399651431515</v>
      </c>
      <c r="AT312" s="24" t="n">
        <f aca="false">IF(OR(AND(AR312*AS312&gt;0), AND(AR312&lt;0,AS312&gt;0)), MOD(ATAN2(AS312,AR312)/$A$10+360,360),  ATAN2(AS312,AR312)/$A$10)</f>
        <v>48.0561921499317</v>
      </c>
      <c r="AU312" s="39" t="n">
        <f aca="false"> 385000.56 + (-20905355*COS(P312) - 3699111*COS(2*R312-P312) - 2955968*COS(2*R312) - 569925*COS(2*P312) + (1-0.002516*L312)*48888*COS(Q312) - 3149*COS(2*S312)  +246158*COS(2*R312-2*P312) -(1 - 0.002516*L312)*152138*COS(2*R312-Q312-P312) -170733*COS(2*R312+P312) -(1 - 0.002516*L312)*204586*COS(2*R312-Q312) -(1 - 0.002516*L312)*129620*COS(Q312-P312)  + 108743*COS(R312) +(1-0.002516*L312)*104755*COS(Q312+P312) +10321*COS(2*R312-2*S312) +79661*COS(P312-2*S312) -34782*COS(4*R312-P312) -23210*COS(3*P312)  -21636*COS(4*R312-2*P312) +(1 - 0.002516*L312)*24208*COS(2*R312+Q312-P312) +(1 - 0.002516*L312)*30824*COS(2*R312+Q312) -8379*COS(R312-P312) -(1 - 0.002516*L312)*16675*COS(R312+Q312)  -(1 - 0.002516*L312)*12831*COS(2*R312-Q312+P312) -10445*COS(2*R312+2*P312) -11650*COS(4*R312) +14403*COS(2*R312-3*P312) -(1-0.002516*L312)*7003*COS(Q312-2*P312)  + (1 - 0.002516*L312)*10056*COS(2*R312-Q312-2*P312) +6322*COS(R312+P312) -(1 - 0.002516*L312)*(1-0.002516*L312)*9884*COS(2*R312-2*Q312) +(1-0.002516*L312)*5751*COS(Q312+2*P312) - (1-0.002516*L312)^2*4950*COS(2*R312-2*Q312-P312)  +4130*COS(2*R312+P312-2*S312) -(1-0.002516*L312)*3958*COS(4*R312-Q312-P312) +3258*COS(3*R312-P312) +(1 - 0.002516*L312)*2616*COS(2*R312+Q312+P312) -(1 - 0.002516*L312)*1897*COS(4*R312-Q312-2*P312)  -(1-0.002516*L312)^2*2117*COS(2*Q312-P312) +(1-0.002516*L312)^2*2354*COS(2*R312+2*Q312-P312) -1423*COS(4*R312+P312) -1117*COS(4*P312) -(1-0.002516*L312)*1571*COS(4*R312-Q312)  -1739*COS(R312-2*P312) -4421*COS(2*P312-2*S312) +(1-0.002516*L312)^2*1165*COS(2*Q312+P312) +8752*COS(2*R312-P312-2*S312))/1000</f>
        <v>385479.822966348</v>
      </c>
      <c r="AV312" s="54" t="n">
        <f aca="false">ATAN(0.99664719*TAN($A$10*input!$E$2))</f>
        <v>0.871010436227447</v>
      </c>
      <c r="AW312" s="54" t="n">
        <f aca="false">COS(AV312)</f>
        <v>0.644053912545845</v>
      </c>
      <c r="AX312" s="54" t="n">
        <f aca="false">0.99664719*SIN(AV312)</f>
        <v>0.762415269897027</v>
      </c>
      <c r="AY312" s="54" t="n">
        <f aca="false">6378.14/AU312</f>
        <v>0.0165459762612706</v>
      </c>
      <c r="AZ312" s="55" t="n">
        <f aca="false">M312-15*AH312</f>
        <v>35.4657587410265</v>
      </c>
      <c r="BA312" s="56" t="n">
        <f aca="false">COS($A$10*AG312)*SIN($A$10*AZ312)</f>
        <v>0.57297516167589</v>
      </c>
      <c r="BB312" s="56" t="n">
        <f aca="false">COS($A$10*AG312)*COS($A$10*AZ312)-AW312*AY312</f>
        <v>0.793641342829114</v>
      </c>
      <c r="BC312" s="56" t="n">
        <f aca="false">SIN($A$10*AG312)-AX312*AY312</f>
        <v>0.144879358175885</v>
      </c>
      <c r="BD312" s="57" t="n">
        <f aca="false">SQRT(BA312^2+BB312^2+BC312^2)</f>
        <v>0.989523696214784</v>
      </c>
      <c r="BE312" s="58" t="n">
        <f aca="false">AU312*BD312</f>
        <v>381441.419237881</v>
      </c>
    </row>
    <row r="313" customFormat="false" ht="15" hidden="false" customHeight="false" outlineLevel="0" collapsed="false">
      <c r="D313" s="41" t="n">
        <f aca="false">K313-INT(275*E313/9)+IF($A$8="common year",2,1)*INT((E313+9)/12)+30</f>
        <v>8</v>
      </c>
      <c r="E313" s="41" t="n">
        <f aca="false">IF(K313&lt;32,1,INT(9*(IF($A$8="common year",2,1)+K313)/275+0.98))</f>
        <v>11</v>
      </c>
      <c r="F313" s="42" t="n">
        <f aca="false">AM313</f>
        <v>48.7938185533816</v>
      </c>
      <c r="G313" s="60" t="n">
        <f aca="false">F313+1.02/(TAN($A$10*(F313+10.3/(F313+5.11)))*60)</f>
        <v>48.8086042957279</v>
      </c>
      <c r="H313" s="43" t="n">
        <f aca="false">100*(1+COS($A$10*AQ313))/2</f>
        <v>99.7743448305273</v>
      </c>
      <c r="I313" s="43" t="n">
        <f aca="false">IF(AI313&gt;180,AT313-180,AT313+180)</f>
        <v>217.852961817373</v>
      </c>
      <c r="J313" s="61" t="n">
        <f aca="false">$J$2+K312</f>
        <v>2459891.5</v>
      </c>
      <c r="K313" s="21" t="n">
        <v>312</v>
      </c>
      <c r="L313" s="62" t="n">
        <f aca="false">(J313-2451545)/36525</f>
        <v>0.228514715947981</v>
      </c>
      <c r="M313" s="63" t="n">
        <f aca="false">MOD(280.46061837+360.98564736629*(J313-2451545)+0.000387933*L313^2-L313^3/38710000+$B$7,360)</f>
        <v>62.1663813665509</v>
      </c>
      <c r="N313" s="30" t="n">
        <f aca="false">0.606433+1336.855225*L313 - INT(0.606433+1336.855225*L313)</f>
        <v>0.0975250044489826</v>
      </c>
      <c r="O313" s="35" t="n">
        <f aca="false">22640*SIN(P313)-4586*SIN(P313-2*R313)+2370*SIN(2*R313)+769*SIN(2*P313)-668*SIN(Q313)-412*SIN(2*S313)-212*SIN(2*P313-2*R313)-206*SIN(P313+Q313-2*R313)+192*SIN(P313+2*R313)-165*SIN(Q313-2*R313)-125*SIN(R313)-110*SIN(P313+Q313)+148*SIN(P313-Q313)-55*SIN(2*S313-2*R313)</f>
        <v>18013.37125577</v>
      </c>
      <c r="P313" s="32" t="n">
        <f aca="false">2*PI()*(0.374897+1325.55241*L313 - INT(0.374897+1325.55241*L313))</f>
        <v>1.77895477081069</v>
      </c>
      <c r="Q313" s="36" t="n">
        <f aca="false">2*PI()*(0.993133+99.997361*L313 - INT(0.993133+99.997361*L313))</f>
        <v>5.30301810340489</v>
      </c>
      <c r="R313" s="36" t="n">
        <f aca="false">2*PI()*(0.827361+1236.853086*L313 - INT(0.827361+1236.853086*L313))</f>
        <v>2.93105955499082</v>
      </c>
      <c r="S313" s="36" t="n">
        <f aca="false">2*PI()*(0.259086+1342.227825*L313 - INT(0.259086+1342.227825*L313))</f>
        <v>6.14430283064805</v>
      </c>
      <c r="T313" s="36" t="n">
        <f aca="false">S313+(O313+412*SIN(2*S313)+541*SIN(Q313))/206264.8062</f>
        <v>6.2289079014475</v>
      </c>
      <c r="U313" s="36" t="n">
        <f aca="false">S313-2*R313</f>
        <v>0.28218372066641</v>
      </c>
      <c r="V313" s="34" t="n">
        <f aca="false">-526*SIN(U313)+44*SIN(P313+U313)-31*SIN(-P313+U313)-23*SIN(Q313+U313)+11*SIN(-Q313+U313)-25*SIN(-2*P313+S313)+21*SIN(-P313+S313)</f>
        <v>-84.3994566979384</v>
      </c>
      <c r="W313" s="36" t="n">
        <f aca="false">2*PI()*(N313+O313/1296000-INT(N313+O313/1296000))</f>
        <v>0.700098963313497</v>
      </c>
      <c r="X313" s="35" t="n">
        <f aca="false">W313*180/PI()</f>
        <v>40.1127158393476</v>
      </c>
      <c r="Y313" s="36" t="n">
        <f aca="false">(18520*SIN(T313)+V313)/206264.8062</f>
        <v>-0.00528021980889274</v>
      </c>
      <c r="Z313" s="36" t="n">
        <f aca="false">Y313*180/PI()</f>
        <v>-0.302534309950928</v>
      </c>
      <c r="AA313" s="36" t="n">
        <f aca="false">COS(Y313)*COS(W313)</f>
        <v>0.764767768359989</v>
      </c>
      <c r="AB313" s="36" t="n">
        <f aca="false">COS(Y313)*SIN(W313)</f>
        <v>0.644284393738947</v>
      </c>
      <c r="AC313" s="36" t="n">
        <f aca="false">SIN(Y313)</f>
        <v>-0.00528019527287085</v>
      </c>
      <c r="AD313" s="36" t="n">
        <f aca="false">COS($A$10*(23.4393-46.815*L313/3600))*AB313-SIN($A$10*(23.4393-46.815*L313/3600))*AC313</f>
        <v>0.593232716161111</v>
      </c>
      <c r="AE313" s="36" t="n">
        <f aca="false">SIN($A$10*(23.4393-46.815*L313/3600))*AB313+COS($A$10*(23.4393-46.815*L313/3600))*AC313</f>
        <v>0.251406453683657</v>
      </c>
      <c r="AF313" s="36" t="n">
        <f aca="false">SQRT(1-AE313*AE313)</f>
        <v>0.967881601770696</v>
      </c>
      <c r="AG313" s="35" t="n">
        <f aca="false">ATAN(AE313/AF313)/$A$10</f>
        <v>14.5607544812299</v>
      </c>
      <c r="AH313" s="36" t="n">
        <f aca="false">IF(24*ATAN(AD313/(AA313+AF313))/PI()&gt;0,24*ATAN(AD313/(AA313+AF313))/PI(),24*ATAN(AD313/(AA313+AF313))/PI()+24)</f>
        <v>2.52005621571524</v>
      </c>
      <c r="AI313" s="63" t="n">
        <f aca="false">IF(M313-15*AH313&gt;0,M313-15*AH313,360+M313-15*AH313)</f>
        <v>24.3655381308223</v>
      </c>
      <c r="AJ313" s="32" t="n">
        <f aca="false">0.950724+0.051818*COS(P313)+0.009531*COS(2*R313-P313)+0.007843*COS(2*R313)+0.002824*COS(2*P313)+0.000857*COS(2*R313+P313)+0.000533*COS(2*R313-Q313)*(1-0.002495*(J313-2415020)/36525)+0.000401*COS(2*R313-Q313-P313)*(1-0.002495*(J313-2415020)/36525)+0.00032*COS(P313-Q313)*(1-0.002495*(J313-2415020)/36525)-0.000271*COS(R313)</f>
        <v>0.93971938774651</v>
      </c>
      <c r="AK313" s="36" t="n">
        <f aca="false">ASIN(COS($A$10*$B$5)*COS($A$10*AG313)*COS($A$10*AI313)+SIN($A$10*$B$5)*SIN($A$10*AG313))/$A$10</f>
        <v>49.404095896334</v>
      </c>
      <c r="AL313" s="32" t="n">
        <f aca="false">ASIN((0.9983271+0.0016764*COS($A$10*2*$B$5))*COS($A$10*AK313)*SIN($A$10*AJ313))/$A$10</f>
        <v>0.610277342952368</v>
      </c>
      <c r="AM313" s="32" t="n">
        <f aca="false">AK313-AL313</f>
        <v>48.7938185533816</v>
      </c>
      <c r="AN313" s="35" t="n">
        <f aca="false"> MOD(280.4664567 + 360007.6982779*L313/10 + 0.03032028*L313^2/100 + L313^3/49931000,360)</f>
        <v>227.172163639249</v>
      </c>
      <c r="AO313" s="32" t="n">
        <f aca="false"> AN313 + (1.9146 - 0.004817*L313 - 0.000014*L313^2)*SIN(Q313)+ (0.019993 - 0.000101*L313)*SIN(2*Q313)+ 0.00029*SIN(3*Q313)</f>
        <v>225.564298172217</v>
      </c>
      <c r="AP313" s="32" t="n">
        <f aca="false">ACOS(COS(W313-$A$10*AO313)*COS(Y313))/$A$10</f>
        <v>174.540054893068</v>
      </c>
      <c r="AQ313" s="34" t="n">
        <f aca="false">180 - AP313 -0.1468*(1-0.0549*SIN(Q313))*SIN($A$10*AP313)/(1-0.0167*SIN($A$10*AO313))</f>
        <v>5.44551227814266</v>
      </c>
      <c r="AR313" s="64" t="n">
        <f aca="false">SIN($A$10*AI313)</f>
        <v>0.412556603423606</v>
      </c>
      <c r="AS313" s="64" t="n">
        <f aca="false">COS($A$10*AI313)*SIN($A$10*$B$5) - TAN($A$10*AG313)*COS($A$10*$B$5)</f>
        <v>0.530850816192315</v>
      </c>
      <c r="AT313" s="24" t="n">
        <f aca="false">IF(OR(AND(AR313*AS313&gt;0), AND(AR313&lt;0,AS313&gt;0)), MOD(ATAN2(AS313,AR313)/$A$10+360,360),  ATAN2(AS313,AR313)/$A$10)</f>
        <v>37.8529618173729</v>
      </c>
      <c r="AU313" s="39" t="n">
        <f aca="false"> 385000.56 + (-20905355*COS(P313) - 3699111*COS(2*R313-P313) - 2955968*COS(2*R313) - 569925*COS(2*P313) + (1-0.002516*L313)*48888*COS(Q313) - 3149*COS(2*S313)  +246158*COS(2*R313-2*P313) -(1 - 0.002516*L313)*152138*COS(2*R313-Q313-P313) -170733*COS(2*R313+P313) -(1 - 0.002516*L313)*204586*COS(2*R313-Q313) -(1 - 0.002516*L313)*129620*COS(Q313-P313)  + 108743*COS(R313) +(1-0.002516*L313)*104755*COS(Q313+P313) +10321*COS(2*R313-2*S313) +79661*COS(P313-2*S313) -34782*COS(4*R313-P313) -23210*COS(3*P313)  -21636*COS(4*R313-2*P313) +(1 - 0.002516*L313)*24208*COS(2*R313+Q313-P313) +(1 - 0.002516*L313)*30824*COS(2*R313+Q313) -8379*COS(R313-P313) -(1 - 0.002516*L313)*16675*COS(R313+Q313)  -(1 - 0.002516*L313)*12831*COS(2*R313-Q313+P313) -10445*COS(2*R313+2*P313) -11650*COS(4*R313) +14403*COS(2*R313-3*P313) -(1-0.002516*L313)*7003*COS(Q313-2*P313)  + (1 - 0.002516*L313)*10056*COS(2*R313-Q313-2*P313) +6322*COS(R313+P313) -(1 - 0.002516*L313)*(1-0.002516*L313)*9884*COS(2*R313-2*Q313) +(1-0.002516*L313)*5751*COS(Q313+2*P313) - (1-0.002516*L313)^2*4950*COS(2*R313-2*Q313-P313)  +4130*COS(2*R313+P313-2*S313) -(1-0.002516*L313)*3958*COS(4*R313-Q313-P313) +3258*COS(3*R313-P313) +(1 - 0.002516*L313)*2616*COS(2*R313+Q313+P313) -(1 - 0.002516*L313)*1897*COS(4*R313-Q313-2*P313)  -(1-0.002516*L313)^2*2117*COS(2*Q313-P313) +(1-0.002516*L313)^2*2354*COS(2*R313+2*Q313-P313) -1423*COS(4*R313+P313) -1117*COS(4*P313) -(1-0.002516*L313)*1571*COS(4*R313-Q313)  -1739*COS(R313-2*P313) -4421*COS(2*P313-2*S313) +(1-0.002516*L313)^2*1165*COS(2*Q313+P313) +8752*COS(2*R313-P313-2*S313))/1000</f>
        <v>388995.453223788</v>
      </c>
      <c r="AV313" s="54" t="n">
        <f aca="false">ATAN(0.99664719*TAN($A$10*input!$E$2))</f>
        <v>0.871010436227447</v>
      </c>
      <c r="AW313" s="54" t="n">
        <f aca="false">COS(AV313)</f>
        <v>0.644053912545845</v>
      </c>
      <c r="AX313" s="54" t="n">
        <f aca="false">0.99664719*SIN(AV313)</f>
        <v>0.762415269897027</v>
      </c>
      <c r="AY313" s="54" t="n">
        <f aca="false">6378.14/AU313</f>
        <v>0.0163964384342834</v>
      </c>
      <c r="AZ313" s="55" t="n">
        <f aca="false">M313-15*AH313</f>
        <v>24.3655381308223</v>
      </c>
      <c r="BA313" s="56" t="n">
        <f aca="false">COS($A$10*AG313)*SIN($A$10*AZ313)</f>
        <v>0.399305946142718</v>
      </c>
      <c r="BB313" s="56" t="n">
        <f aca="false">COS($A$10*AG313)*COS($A$10*AZ313)-AW313*AY313</f>
        <v>0.87111410124788</v>
      </c>
      <c r="BC313" s="56" t="n">
        <f aca="false">SIN($A$10*AG313)-AX313*AY313</f>
        <v>0.238905558649433</v>
      </c>
      <c r="BD313" s="57" t="n">
        <f aca="false">SQRT(BA313^2+BB313^2+BC313^2)</f>
        <v>0.987603605689768</v>
      </c>
      <c r="BE313" s="58" t="n">
        <f aca="false">AU313*BD313</f>
        <v>384173.312200738</v>
      </c>
    </row>
    <row r="314" customFormat="false" ht="15" hidden="false" customHeight="false" outlineLevel="0" collapsed="false">
      <c r="D314" s="41" t="n">
        <f aca="false">K314-INT(275*E314/9)+IF($A$8="common year",2,1)*INT((E314+9)/12)+30</f>
        <v>9</v>
      </c>
      <c r="E314" s="41" t="n">
        <f aca="false">IF(K314&lt;32,1,INT(9*(IF($A$8="common year",2,1)+K314)/275+0.98))</f>
        <v>11</v>
      </c>
      <c r="F314" s="42" t="n">
        <f aca="false">AM314</f>
        <v>57.1472090580089</v>
      </c>
      <c r="G314" s="60" t="n">
        <f aca="false">F314+1.02/(TAN($A$10*(F314+10.3/(F314+5.11)))*60)</f>
        <v>57.1581175637976</v>
      </c>
      <c r="H314" s="43" t="n">
        <f aca="false">100*(1+COS($A$10*AQ314))/2</f>
        <v>99.694799243448</v>
      </c>
      <c r="I314" s="43" t="n">
        <f aca="false">IF(AI314&gt;180,AT314-180,AT314+180)</f>
        <v>203.232111813221</v>
      </c>
      <c r="J314" s="61" t="n">
        <f aca="false">$J$2+K313</f>
        <v>2459892.5</v>
      </c>
      <c r="K314" s="21" t="n">
        <v>313</v>
      </c>
      <c r="L314" s="62" t="n">
        <f aca="false">(J314-2451545)/36525</f>
        <v>0.228542094455852</v>
      </c>
      <c r="M314" s="63" t="n">
        <f aca="false">MOD(280.46061837+360.98564736629*(J314-2451545)+0.000387933*L314^2-L314^3/38710000+$B$7,360)</f>
        <v>63.1520287375897</v>
      </c>
      <c r="N314" s="30" t="n">
        <f aca="false">0.606433+1336.855225*L314 - INT(0.606433+1336.855225*L314)</f>
        <v>0.134126105749488</v>
      </c>
      <c r="O314" s="35" t="n">
        <f aca="false">22640*SIN(P314)-4586*SIN(P314-2*R314)+2370*SIN(2*R314)+769*SIN(2*P314)-668*SIN(Q314)-412*SIN(2*S314)-212*SIN(2*P314-2*R314)-206*SIN(P314+Q314-2*R314)+192*SIN(P314+2*R314)-165*SIN(Q314-2*R314)-125*SIN(R314)-110*SIN(P314+Q314)+148*SIN(P314-Q314)-55*SIN(2*S314-2*R314)</f>
        <v>16463.9102669408</v>
      </c>
      <c r="P314" s="32" t="n">
        <f aca="false">2*PI()*(0.374897+1325.55241*L314 - INT(0.374897+1325.55241*L314))</f>
        <v>2.00698191458651</v>
      </c>
      <c r="Q314" s="36" t="n">
        <f aca="false">2*PI()*(0.993133+99.997361*L314 - INT(0.993133+99.997361*L314))</f>
        <v>5.3202200732719</v>
      </c>
      <c r="R314" s="36" t="n">
        <f aca="false">2*PI()*(0.827361+1236.853086*L314 - INT(0.827361+1236.853086*L314))</f>
        <v>3.14382826510984</v>
      </c>
      <c r="S314" s="36" t="n">
        <f aca="false">2*PI()*(0.259086+1342.227825*L314 - INT(0.259086+1342.227825*L314))</f>
        <v>0.0920132428094669</v>
      </c>
      <c r="T314" s="36" t="n">
        <f aca="false">S314+(O314+412*SIN(2*S314)+541*SIN(Q314))/206264.8062</f>
        <v>0.170044980413735</v>
      </c>
      <c r="U314" s="36" t="n">
        <f aca="false">S314-2*R314</f>
        <v>-6.19564328741022</v>
      </c>
      <c r="V314" s="34" t="n">
        <f aca="false">-526*SIN(U314)+44*SIN(P314+U314)-31*SIN(-P314+U314)-23*SIN(Q314+U314)+11*SIN(-Q314+U314)-25*SIN(-2*P314+S314)+21*SIN(-P314+S314)</f>
        <v>11.0962859312884</v>
      </c>
      <c r="W314" s="36" t="n">
        <f aca="false">2*PI()*(N314+O314/1296000-INT(N314+O314/1296000))</f>
        <v>0.922558466374122</v>
      </c>
      <c r="X314" s="35" t="n">
        <f aca="false">W314*180/PI()</f>
        <v>52.8587064772991</v>
      </c>
      <c r="Y314" s="36" t="n">
        <f aca="false">(18520*SIN(T314)+V314)/206264.8062</f>
        <v>0.0152482358685491</v>
      </c>
      <c r="Z314" s="36" t="n">
        <f aca="false">Y314*180/PI()</f>
        <v>0.873659560287865</v>
      </c>
      <c r="AA314" s="36" t="n">
        <f aca="false">COS(Y314)*COS(W314)</f>
        <v>0.603712465100115</v>
      </c>
      <c r="AB314" s="36" t="n">
        <f aca="false">COS(Y314)*SIN(W314)</f>
        <v>0.797056314701276</v>
      </c>
      <c r="AC314" s="36" t="n">
        <f aca="false">SIN(Y314)</f>
        <v>0.015247644984176</v>
      </c>
      <c r="AD314" s="36" t="n">
        <f aca="false">COS($A$10*(23.4393-46.815*L314/3600))*AB314-SIN($A$10*(23.4393-46.815*L314/3600))*AC314</f>
        <v>0.725236825459807</v>
      </c>
      <c r="AE314" s="36" t="n">
        <f aca="false">SIN($A$10*(23.4393-46.815*L314/3600))*AB314+COS($A$10*(23.4393-46.815*L314/3600))*AC314</f>
        <v>0.331002728810088</v>
      </c>
      <c r="AF314" s="36" t="n">
        <f aca="false">SQRT(1-AE314*AE314)</f>
        <v>0.943629796859063</v>
      </c>
      <c r="AG314" s="35" t="n">
        <f aca="false">ATAN(AE314/AF314)/$A$10</f>
        <v>19.3296483425768</v>
      </c>
      <c r="AH314" s="36" t="n">
        <f aca="false">IF(24*ATAN(AD314/(AA314+AF314))/PI()&gt;0,24*ATAN(AD314/(AA314+AF314))/PI(),24*ATAN(AD314/(AA314+AF314))/PI()+24)</f>
        <v>3.34832139331267</v>
      </c>
      <c r="AI314" s="63" t="n">
        <f aca="false">IF(M314-15*AH314&gt;0,M314-15*AH314,360+M314-15*AH314)</f>
        <v>12.9272078378997</v>
      </c>
      <c r="AJ314" s="32" t="n">
        <f aca="false">0.950724+0.051818*COS(P314)+0.009531*COS(2*R314-P314)+0.007843*COS(2*R314)+0.002824*COS(2*P314)+0.000857*COS(2*R314+P314)+0.000533*COS(2*R314-Q314)*(1-0.002495*(J314-2415020)/36525)+0.000401*COS(2*R314-Q314-P314)*(1-0.002495*(J314-2415020)/36525)+0.00032*COS(P314-Q314)*(1-0.002495*(J314-2415020)/36525)-0.000271*COS(R314)</f>
        <v>0.930965831922593</v>
      </c>
      <c r="AK314" s="36" t="n">
        <f aca="false">ASIN(COS($A$10*$B$5)*COS($A$10*AG314)*COS($A$10*AI314)+SIN($A$10*$B$5)*SIN($A$10*AG314))/$A$10</f>
        <v>57.6444414962468</v>
      </c>
      <c r="AL314" s="32" t="n">
        <f aca="false">ASIN((0.9983271+0.0016764*COS($A$10*2*$B$5))*COS($A$10*AK314)*SIN($A$10*AJ314))/$A$10</f>
        <v>0.497232438237849</v>
      </c>
      <c r="AM314" s="32" t="n">
        <f aca="false">AK314-AL314</f>
        <v>57.1472090580089</v>
      </c>
      <c r="AN314" s="35" t="n">
        <f aca="false"> MOD(280.4664567 + 360007.6982779*L314/10 + 0.03032028*L314^2/100 + L314^3/49931000,360)</f>
        <v>228.157811003146</v>
      </c>
      <c r="AO314" s="32" t="n">
        <f aca="false"> AN314 + (1.9146 - 0.004817*L314 - 0.000014*L314^2)*SIN(Q314)+ (0.019993 - 0.000101*L314)*SIN(2*Q314)+ 0.00029*SIN(3*Q314)</f>
        <v>226.568245727593</v>
      </c>
      <c r="AP314" s="32" t="n">
        <f aca="false">ACOS(COS(W314-$A$10*AO314)*COS(Y314))/$A$10</f>
        <v>173.649400959396</v>
      </c>
      <c r="AQ314" s="34" t="n">
        <f aca="false">180 - AP314 -0.1468*(1-0.0549*SIN(Q314))*SIN($A$10*AP314)/(1-0.0167*SIN($A$10*AO314))</f>
        <v>6.33383273559021</v>
      </c>
      <c r="AR314" s="64" t="n">
        <f aca="false">SIN($A$10*AI314)</f>
        <v>0.223712972116334</v>
      </c>
      <c r="AS314" s="64" t="n">
        <f aca="false">COS($A$10*AI314)*SIN($A$10*$B$5) - TAN($A$10*AG314)*COS($A$10*$B$5)</f>
        <v>0.521154604585054</v>
      </c>
      <c r="AT314" s="24" t="n">
        <f aca="false">IF(OR(AND(AR314*AS314&gt;0), AND(AR314&lt;0,AS314&gt;0)), MOD(ATAN2(AS314,AR314)/$A$10+360,360),  ATAN2(AS314,AR314)/$A$10)</f>
        <v>23.232111813221</v>
      </c>
      <c r="AU314" s="39" t="n">
        <f aca="false"> 385000.56 + (-20905355*COS(P314) - 3699111*COS(2*R314-P314) - 2955968*COS(2*R314) - 569925*COS(2*P314) + (1-0.002516*L314)*48888*COS(Q314) - 3149*COS(2*S314)  +246158*COS(2*R314-2*P314) -(1 - 0.002516*L314)*152138*COS(2*R314-Q314-P314) -170733*COS(2*R314+P314) -(1 - 0.002516*L314)*204586*COS(2*R314-Q314) -(1 - 0.002516*L314)*129620*COS(Q314-P314)  + 108743*COS(R314) +(1-0.002516*L314)*104755*COS(Q314+P314) +10321*COS(2*R314-2*S314) +79661*COS(P314-2*S314) -34782*COS(4*R314-P314) -23210*COS(3*P314)  -21636*COS(4*R314-2*P314) +(1 - 0.002516*L314)*24208*COS(2*R314+Q314-P314) +(1 - 0.002516*L314)*30824*COS(2*R314+Q314) -8379*COS(R314-P314) -(1 - 0.002516*L314)*16675*COS(R314+Q314)  -(1 - 0.002516*L314)*12831*COS(2*R314-Q314+P314) -10445*COS(2*R314+2*P314) -11650*COS(4*R314) +14403*COS(2*R314-3*P314) -(1-0.002516*L314)*7003*COS(Q314-2*P314)  + (1 - 0.002516*L314)*10056*COS(2*R314-Q314-2*P314) +6322*COS(R314+P314) -(1 - 0.002516*L314)*(1-0.002516*L314)*9884*COS(2*R314-2*Q314) +(1-0.002516*L314)*5751*COS(Q314+2*P314) - (1-0.002516*L314)^2*4950*COS(2*R314-2*Q314-P314)  +4130*COS(2*R314+P314-2*S314) -(1-0.002516*L314)*3958*COS(4*R314-Q314-P314) +3258*COS(3*R314-P314) +(1 - 0.002516*L314)*2616*COS(2*R314+Q314+P314) -(1 - 0.002516*L314)*1897*COS(4*R314-Q314-2*P314)  -(1-0.002516*L314)^2*2117*COS(2*Q314-P314) +(1-0.002516*L314)^2*2354*COS(2*R314+2*Q314-P314) -1423*COS(4*R314+P314) -1117*COS(4*P314) -(1-0.002516*L314)*1571*COS(4*R314-Q314)  -1739*COS(R314-2*P314) -4421*COS(2*P314-2*S314) +(1-0.002516*L314)^2*1165*COS(2*Q314+P314) +8752*COS(2*R314-P314-2*S314))/1000</f>
        <v>392609.21225455</v>
      </c>
      <c r="AV314" s="54" t="n">
        <f aca="false">ATAN(0.99664719*TAN($A$10*input!$E$2))</f>
        <v>0.871010436227447</v>
      </c>
      <c r="AW314" s="54" t="n">
        <f aca="false">COS(AV314)</f>
        <v>0.644053912545845</v>
      </c>
      <c r="AX314" s="54" t="n">
        <f aca="false">0.99664719*SIN(AV314)</f>
        <v>0.762415269897027</v>
      </c>
      <c r="AY314" s="54" t="n">
        <f aca="false">6378.14/AU314</f>
        <v>0.0162455179372223</v>
      </c>
      <c r="AZ314" s="55" t="n">
        <f aca="false">M314-15*AH314</f>
        <v>12.9272078378997</v>
      </c>
      <c r="BA314" s="56" t="n">
        <f aca="false">COS($A$10*AG314)*SIN($A$10*AZ314)</f>
        <v>0.211102226432874</v>
      </c>
      <c r="BB314" s="56" t="n">
        <f aca="false">COS($A$10*AG314)*COS($A$10*AZ314)-AW314*AY314</f>
        <v>0.90925057662801</v>
      </c>
      <c r="BC314" s="56" t="n">
        <f aca="false">SIN($A$10*AG314)-AX314*AY314</f>
        <v>0.318616897867363</v>
      </c>
      <c r="BD314" s="57" t="n">
        <f aca="false">SQRT(BA314^2+BB314^2+BC314^2)</f>
        <v>0.986315106195736</v>
      </c>
      <c r="BE314" s="58" t="n">
        <f aca="false">AU314*BD314</f>
        <v>387236.396878271</v>
      </c>
    </row>
    <row r="315" customFormat="false" ht="15" hidden="false" customHeight="false" outlineLevel="0" collapsed="false">
      <c r="D315" s="41" t="n">
        <f aca="false">K315-INT(275*E315/9)+IF($A$8="common year",2,1)*INT((E315+9)/12)+30</f>
        <v>10</v>
      </c>
      <c r="E315" s="41" t="n">
        <f aca="false">IF(K315&lt;32,1,INT(9*(IF($A$8="common year",2,1)+K315)/275+0.98))</f>
        <v>11</v>
      </c>
      <c r="F315" s="42" t="n">
        <f aca="false">AM315</f>
        <v>62.7187571621682</v>
      </c>
      <c r="G315" s="60" t="n">
        <f aca="false">F315+1.02/(TAN($A$10*(F315+10.3/(F315+5.11)))*60)</f>
        <v>62.7274675081948</v>
      </c>
      <c r="H315" s="43" t="n">
        <f aca="false">100*(1+COS($A$10*AQ315))/2</f>
        <v>97.5914612567023</v>
      </c>
      <c r="I315" s="43" t="n">
        <f aca="false">IF(AI315&gt;180,AT315-180,AT315+180)</f>
        <v>182.18559412223</v>
      </c>
      <c r="J315" s="61" t="n">
        <f aca="false">$J$2+K314</f>
        <v>2459893.5</v>
      </c>
      <c r="K315" s="21" t="n">
        <v>314</v>
      </c>
      <c r="L315" s="62" t="n">
        <f aca="false">(J315-2451545)/36525</f>
        <v>0.228569472963723</v>
      </c>
      <c r="M315" s="63" t="n">
        <f aca="false">MOD(280.46061837+360.98564736629*(J315-2451545)+0.000387933*L315^2-L315^3/38710000+$B$7,360)</f>
        <v>64.1376761086285</v>
      </c>
      <c r="N315" s="30" t="n">
        <f aca="false">0.606433+1336.855225*L315 - INT(0.606433+1336.855225*L315)</f>
        <v>0.170727207049936</v>
      </c>
      <c r="O315" s="35" t="n">
        <f aca="false">22640*SIN(P315)-4586*SIN(P315-2*R315)+2370*SIN(2*R315)+769*SIN(2*P315)-668*SIN(Q315)-412*SIN(2*S315)-212*SIN(2*P315-2*R315)-206*SIN(P315+Q315-2*R315)+192*SIN(P315+2*R315)-165*SIN(Q315-2*R315)-125*SIN(R315)-110*SIN(P315+Q315)+148*SIN(P315-Q315)-55*SIN(2*S315-2*R315)</f>
        <v>14064.4348012897</v>
      </c>
      <c r="P315" s="32" t="n">
        <f aca="false">2*PI()*(0.374897+1325.55241*L315 - INT(0.374897+1325.55241*L315))</f>
        <v>2.23500905836197</v>
      </c>
      <c r="Q315" s="36" t="n">
        <f aca="false">2*PI()*(0.993133+99.997361*L315 - INT(0.993133+99.997361*L315))</f>
        <v>5.33742204313888</v>
      </c>
      <c r="R315" s="36" t="n">
        <f aca="false">2*PI()*(0.827361+1236.853086*L315 - INT(0.827361+1236.853086*L315))</f>
        <v>3.35659697522887</v>
      </c>
      <c r="S315" s="36" t="n">
        <f aca="false">2*PI()*(0.259086+1342.227825*L315 - INT(0.259086+1342.227825*L315))</f>
        <v>0.322908962150114</v>
      </c>
      <c r="T315" s="36" t="n">
        <f aca="false">S315+(O315+412*SIN(2*S315)+541*SIN(Q315))/206264.8062</f>
        <v>0.390170447196182</v>
      </c>
      <c r="U315" s="36" t="n">
        <f aca="false">S315-2*R315</f>
        <v>-6.39028498830762</v>
      </c>
      <c r="V315" s="34" t="n">
        <f aca="false">-526*SIN(U315)+44*SIN(P315+U315)-31*SIN(-P315+U315)-23*SIN(Q315+U315)+11*SIN(-Q315+U315)-25*SIN(-2*P315+S315)+21*SIN(-P315+S315)</f>
        <v>103.065233479636</v>
      </c>
      <c r="W315" s="36" t="n">
        <f aca="false">2*PI()*(N315+O315/1296000-INT(N315+O315/1296000))</f>
        <v>1.14089698295935</v>
      </c>
      <c r="X315" s="35" t="n">
        <f aca="false">W315*180/PI()</f>
        <v>65.3685819827796</v>
      </c>
      <c r="Y315" s="36" t="n">
        <f aca="false">(18520*SIN(T315)+V315)/206264.8062</f>
        <v>0.0346499936406282</v>
      </c>
      <c r="Z315" s="36" t="n">
        <f aca="false">Y315*180/PI()</f>
        <v>1.98529839576314</v>
      </c>
      <c r="AA315" s="36" t="n">
        <f aca="false">COS(Y315)*COS(W315)</f>
        <v>0.416529135128171</v>
      </c>
      <c r="AB315" s="36" t="n">
        <f aca="false">COS(Y315)*SIN(W315)</f>
        <v>0.90846207292927</v>
      </c>
      <c r="AC315" s="36" t="n">
        <f aca="false">SIN(Y315)</f>
        <v>0.0346430604657275</v>
      </c>
      <c r="AD315" s="36" t="n">
        <f aca="false">COS($A$10*(23.4393-46.815*L315/3600))*AB315-SIN($A$10*(23.4393-46.815*L315/3600))*AC315</f>
        <v>0.819737771416132</v>
      </c>
      <c r="AE315" s="36" t="n">
        <f aca="false">SIN($A$10*(23.4393-46.815*L315/3600))*AB315+COS($A$10*(23.4393-46.815*L315/3600))*AC315</f>
        <v>0.393107448038181</v>
      </c>
      <c r="AF315" s="36" t="n">
        <f aca="false">SQRT(1-AE315*AE315)</f>
        <v>0.919492541729898</v>
      </c>
      <c r="AG315" s="35" t="n">
        <f aca="false">ATAN(AE315/AF315)/$A$10</f>
        <v>23.147992606496</v>
      </c>
      <c r="AH315" s="36" t="n">
        <f aca="false">IF(24*ATAN(AD315/(AA315+AF315))/PI()&gt;0,24*ATAN(AD315/(AA315+AF315))/PI(),24*ATAN(AD315/(AA315+AF315))/PI()+24)</f>
        <v>4.20424963781429</v>
      </c>
      <c r="AI315" s="63" t="n">
        <f aca="false">IF(M315-15*AH315&gt;0,M315-15*AH315,360+M315-15*AH315)</f>
        <v>1.07393154141417</v>
      </c>
      <c r="AJ315" s="32" t="n">
        <f aca="false">0.950724+0.051818*COS(P315)+0.009531*COS(2*R315-P315)+0.007843*COS(2*R315)+0.002824*COS(2*P315)+0.000857*COS(2*R315+P315)+0.000533*COS(2*R315-Q315)*(1-0.002495*(J315-2415020)/36525)+0.000401*COS(2*R315-Q315-P315)*(1-0.002495*(J315-2415020)/36525)+0.00032*COS(P315-Q315)*(1-0.002495*(J315-2415020)/36525)-0.000271*COS(R315)</f>
        <v>0.922569220348573</v>
      </c>
      <c r="AK315" s="36" t="n">
        <f aca="false">ASIN(COS($A$10*$B$5)*COS($A$10*AG315)*COS($A$10*AI315)+SIN($A$10*$B$5)*SIN($A$10*AG315))/$A$10</f>
        <v>63.1348262112602</v>
      </c>
      <c r="AL315" s="32" t="n">
        <f aca="false">ASIN((0.9983271+0.0016764*COS($A$10*2*$B$5))*COS($A$10*AK315)*SIN($A$10*AJ315))/$A$10</f>
        <v>0.416069049092033</v>
      </c>
      <c r="AM315" s="32" t="n">
        <f aca="false">AK315-AL315</f>
        <v>62.7187571621682</v>
      </c>
      <c r="AN315" s="35" t="n">
        <f aca="false"> MOD(280.4664567 + 360007.6982779*L315/10 + 0.03032028*L315^2/100 + L315^3/49931000,360)</f>
        <v>229.143458367045</v>
      </c>
      <c r="AO315" s="32" t="n">
        <f aca="false"> AN315 + (1.9146 - 0.004817*L315 - 0.000014*L315^2)*SIN(Q315)+ (0.019993 - 0.000101*L315)*SIN(2*Q315)+ 0.00029*SIN(3*Q315)</f>
        <v>227.572680424647</v>
      </c>
      <c r="AP315" s="32" t="n">
        <f aca="false">ACOS(COS(W315-$A$10*AO315)*COS(Y315))/$A$10</f>
        <v>162.097264286573</v>
      </c>
      <c r="AQ315" s="34" t="n">
        <f aca="false">180 - AP315 -0.1468*(1-0.0549*SIN(Q315))*SIN($A$10*AP315)/(1-0.0167*SIN($A$10*AO315))</f>
        <v>17.8561739768709</v>
      </c>
      <c r="AR315" s="64" t="n">
        <f aca="false">SIN($A$10*AI315)</f>
        <v>0.018742543842516</v>
      </c>
      <c r="AS315" s="64" t="n">
        <f aca="false">COS($A$10*AI315)*SIN($A$10*$B$5) - TAN($A$10*AG315)*COS($A$10*$B$5)</f>
        <v>0.491101131203399</v>
      </c>
      <c r="AT315" s="24" t="n">
        <f aca="false">IF(OR(AND(AR315*AS315&gt;0), AND(AR315&lt;0,AS315&gt;0)), MOD(ATAN2(AS315,AR315)/$A$10+360,360),  ATAN2(AS315,AR315)/$A$10)</f>
        <v>2.18559412223033</v>
      </c>
      <c r="AU315" s="39" t="n">
        <f aca="false"> 385000.56 + (-20905355*COS(P315) - 3699111*COS(2*R315-P315) - 2955968*COS(2*R315) - 569925*COS(2*P315) + (1-0.002516*L315)*48888*COS(Q315) - 3149*COS(2*S315)  +246158*COS(2*R315-2*P315) -(1 - 0.002516*L315)*152138*COS(2*R315-Q315-P315) -170733*COS(2*R315+P315) -(1 - 0.002516*L315)*204586*COS(2*R315-Q315) -(1 - 0.002516*L315)*129620*COS(Q315-P315)  + 108743*COS(R315) +(1-0.002516*L315)*104755*COS(Q315+P315) +10321*COS(2*R315-2*S315) +79661*COS(P315-2*S315) -34782*COS(4*R315-P315) -23210*COS(3*P315)  -21636*COS(4*R315-2*P315) +(1 - 0.002516*L315)*24208*COS(2*R315+Q315-P315) +(1 - 0.002516*L315)*30824*COS(2*R315+Q315) -8379*COS(R315-P315) -(1 - 0.002516*L315)*16675*COS(R315+Q315)  -(1 - 0.002516*L315)*12831*COS(2*R315-Q315+P315) -10445*COS(2*R315+2*P315) -11650*COS(4*R315) +14403*COS(2*R315-3*P315) -(1-0.002516*L315)*7003*COS(Q315-2*P315)  + (1 - 0.002516*L315)*10056*COS(2*R315-Q315-2*P315) +6322*COS(R315+P315) -(1 - 0.002516*L315)*(1-0.002516*L315)*9884*COS(2*R315-2*Q315) +(1-0.002516*L315)*5751*COS(Q315+2*P315) - (1-0.002516*L315)^2*4950*COS(2*R315-2*Q315-P315)  +4130*COS(2*R315+P315-2*S315) -(1-0.002516*L315)*3958*COS(4*R315-Q315-P315) +3258*COS(3*R315-P315) +(1 - 0.002516*L315)*2616*COS(2*R315+Q315+P315) -(1 - 0.002516*L315)*1897*COS(4*R315-Q315-2*P315)  -(1-0.002516*L315)^2*2117*COS(2*Q315-P315) +(1-0.002516*L315)^2*2354*COS(2*R315+2*Q315-P315) -1423*COS(4*R315+P315) -1117*COS(4*P315) -(1-0.002516*L315)*1571*COS(4*R315-Q315)  -1739*COS(R315-2*P315) -4421*COS(2*P315-2*S315) +(1-0.002516*L315)^2*1165*COS(2*Q315+P315) +8752*COS(2*R315-P315-2*S315))/1000</f>
        <v>396144.842420841</v>
      </c>
      <c r="AV315" s="54" t="n">
        <f aca="false">ATAN(0.99664719*TAN($A$10*input!$E$2))</f>
        <v>0.871010436227447</v>
      </c>
      <c r="AW315" s="54" t="n">
        <f aca="false">COS(AV315)</f>
        <v>0.644053912545845</v>
      </c>
      <c r="AX315" s="54" t="n">
        <f aca="false">0.99664719*SIN(AV315)</f>
        <v>0.762415269897027</v>
      </c>
      <c r="AY315" s="54" t="n">
        <f aca="false">6378.14/AU315</f>
        <v>0.0161005251539391</v>
      </c>
      <c r="AZ315" s="55" t="n">
        <f aca="false">M315-15*AH315</f>
        <v>1.07393154141417</v>
      </c>
      <c r="BA315" s="56" t="n">
        <f aca="false">COS($A$10*AG315)*SIN($A$10*AZ315)</f>
        <v>0.0172336292762391</v>
      </c>
      <c r="BB315" s="56" t="n">
        <f aca="false">COS($A$10*AG315)*COS($A$10*AZ315)-AW315*AY315</f>
        <v>0.908961420298692</v>
      </c>
      <c r="BC315" s="56" t="n">
        <f aca="false">SIN($A$10*AG315)-AX315*AY315</f>
        <v>0.380832161807457</v>
      </c>
      <c r="BD315" s="57" t="n">
        <f aca="false">SQRT(BA315^2+BB315^2+BC315^2)</f>
        <v>0.985667792431298</v>
      </c>
      <c r="BE315" s="58" t="n">
        <f aca="false">AU315*BD315</f>
        <v>390467.212311995</v>
      </c>
    </row>
    <row r="316" customFormat="false" ht="15" hidden="false" customHeight="false" outlineLevel="0" collapsed="false">
      <c r="D316" s="41" t="n">
        <f aca="false">K316-INT(275*E316/9)+IF($A$8="common year",2,1)*INT((E316+9)/12)+30</f>
        <v>11</v>
      </c>
      <c r="E316" s="41" t="n">
        <f aca="false">IF(K316&lt;32,1,INT(9*(IF($A$8="common year",2,1)+K316)/275+0.98))</f>
        <v>11</v>
      </c>
      <c r="F316" s="42" t="n">
        <f aca="false">AM316</f>
        <v>63.9503527136459</v>
      </c>
      <c r="G316" s="60" t="n">
        <f aca="false">F316+1.02/(TAN($A$10*(F316+10.3/(F316+5.11)))*60)</f>
        <v>63.9586076543275</v>
      </c>
      <c r="H316" s="43" t="n">
        <f aca="false">100*(1+COS($A$10*AQ316))/2</f>
        <v>93.6668110227173</v>
      </c>
      <c r="I316" s="43" t="n">
        <f aca="false">IF(AI316&gt;180,AT316-180,AT316+180)</f>
        <v>156.264728444051</v>
      </c>
      <c r="J316" s="61" t="n">
        <f aca="false">$J$2+K315</f>
        <v>2459894.5</v>
      </c>
      <c r="K316" s="21" t="n">
        <v>315</v>
      </c>
      <c r="L316" s="62" t="n">
        <f aca="false">(J316-2451545)/36525</f>
        <v>0.228596851471595</v>
      </c>
      <c r="M316" s="63" t="n">
        <f aca="false">MOD(280.46061837+360.98564736629*(J316-2451545)+0.000387933*L316^2-L316^3/38710000+$B$7,360)</f>
        <v>65.123323480133</v>
      </c>
      <c r="N316" s="30" t="n">
        <f aca="false">0.606433+1336.855225*L316 - INT(0.606433+1336.855225*L316)</f>
        <v>0.207328308350441</v>
      </c>
      <c r="O316" s="35" t="n">
        <f aca="false">22640*SIN(P316)-4586*SIN(P316-2*R316)+2370*SIN(2*R316)+769*SIN(2*P316)-668*SIN(Q316)-412*SIN(2*S316)-212*SIN(2*P316-2*R316)-206*SIN(P316+Q316-2*R316)+192*SIN(P316+2*R316)-165*SIN(Q316-2*R316)-125*SIN(R316)-110*SIN(P316+Q316)+148*SIN(P316-Q316)-55*SIN(2*S316-2*R316)</f>
        <v>10891.0222851729</v>
      </c>
      <c r="P316" s="32" t="n">
        <f aca="false">2*PI()*(0.374897+1325.55241*L316 - INT(0.374897+1325.55241*L316))</f>
        <v>2.46303620213779</v>
      </c>
      <c r="Q316" s="36" t="n">
        <f aca="false">2*PI()*(0.993133+99.997361*L316 - INT(0.993133+99.997361*L316))</f>
        <v>5.35462401300589</v>
      </c>
      <c r="R316" s="36" t="n">
        <f aca="false">2*PI()*(0.827361+1236.853086*L316 - INT(0.827361+1236.853086*L316))</f>
        <v>3.56936568534789</v>
      </c>
      <c r="S316" s="36" t="n">
        <f aca="false">2*PI()*(0.259086+1342.227825*L316 - INT(0.259086+1342.227825*L316))</f>
        <v>0.553804681491118</v>
      </c>
      <c r="T316" s="36" t="n">
        <f aca="false">S316+(O316+412*SIN(2*S316)+541*SIN(Q316))/206264.8062</f>
        <v>0.606292552309601</v>
      </c>
      <c r="U316" s="36" t="n">
        <f aca="false">S316-2*R316</f>
        <v>-6.58492668920467</v>
      </c>
      <c r="V316" s="34" t="n">
        <f aca="false">-526*SIN(U316)+44*SIN(P316+U316)-31*SIN(-P316+U316)-23*SIN(Q316+U316)+11*SIN(-Q316+U316)-25*SIN(-2*P316+S316)+21*SIN(-P316+S316)</f>
        <v>189.029642535775</v>
      </c>
      <c r="W316" s="36" t="n">
        <f aca="false">2*PI()*(N316+O316/1296000-INT(N316+O316/1296000))</f>
        <v>1.35548334684109</v>
      </c>
      <c r="X316" s="35" t="n">
        <f aca="false">W316*180/PI()</f>
        <v>77.6634749742622</v>
      </c>
      <c r="Y316" s="36" t="n">
        <f aca="false">(18520*SIN(T316)+V316)/206264.8062</f>
        <v>0.052079575764568</v>
      </c>
      <c r="Z316" s="36" t="n">
        <f aca="false">Y316*180/PI()</f>
        <v>2.98393989014156</v>
      </c>
      <c r="AA316" s="36" t="n">
        <f aca="false">COS(Y316)*COS(W316)</f>
        <v>0.213363513480238</v>
      </c>
      <c r="AB316" s="36" t="n">
        <f aca="false">COS(Y316)*SIN(W316)</f>
        <v>0.975585045075618</v>
      </c>
      <c r="AC316" s="36" t="n">
        <f aca="false">SIN(Y316)</f>
        <v>0.0520560365392217</v>
      </c>
      <c r="AD316" s="36" t="n">
        <f aca="false">COS($A$10*(23.4393-46.815*L316/3600))*AB316-SIN($A$10*(23.4393-46.815*L316/3600))*AC316</f>
        <v>0.874397620151955</v>
      </c>
      <c r="AE316" s="36" t="n">
        <f aca="false">SIN($A$10*(23.4393-46.815*L316/3600))*AB316+COS($A$10*(23.4393-46.815*L316/3600))*AC316</f>
        <v>0.435780693684296</v>
      </c>
      <c r="AF316" s="36" t="n">
        <f aca="false">SQRT(1-AE316*AE316)</f>
        <v>0.900052880119848</v>
      </c>
      <c r="AG316" s="35" t="n">
        <f aca="false">ATAN(AE316/AF316)/$A$10</f>
        <v>25.8349810368491</v>
      </c>
      <c r="AH316" s="36" t="n">
        <f aca="false">IF(24*ATAN(AD316/(AA316+AF316))/PI()&gt;0,24*ATAN(AD316/(AA316+AF316))/PI(),24*ATAN(AD316/(AA316+AF316))/PI()+24)</f>
        <v>5.08580760944483</v>
      </c>
      <c r="AI316" s="63" t="n">
        <f aca="false">IF(M316-15*AH316&gt;0,M316-15*AH316,360+M316-15*AH316)</f>
        <v>348.836209338461</v>
      </c>
      <c r="AJ316" s="32" t="n">
        <f aca="false">0.950724+0.051818*COS(P316)+0.009531*COS(2*R316-P316)+0.007843*COS(2*R316)+0.002824*COS(2*P316)+0.000857*COS(2*R316+P316)+0.000533*COS(2*R316-Q316)*(1-0.002495*(J316-2415020)/36525)+0.000401*COS(2*R316-Q316-P316)*(1-0.002495*(J316-2415020)/36525)+0.00032*COS(P316-Q316)*(1-0.002495*(J316-2415020)/36525)-0.000271*COS(R316)</f>
        <v>0.915069942031131</v>
      </c>
      <c r="AK316" s="36" t="n">
        <f aca="false">ASIN(COS($A$10*$B$5)*COS($A$10*AG316)*COS($A$10*AI316)+SIN($A$10*$B$5)*SIN($A$10*AG316))/$A$10</f>
        <v>64.3457311098947</v>
      </c>
      <c r="AL316" s="32" t="n">
        <f aca="false">ASIN((0.9983271+0.0016764*COS($A$10*2*$B$5))*COS($A$10*AK316)*SIN($A$10*AJ316))/$A$10</f>
        <v>0.395378396248766</v>
      </c>
      <c r="AM316" s="32" t="n">
        <f aca="false">AK316-AL316</f>
        <v>63.9503527136459</v>
      </c>
      <c r="AN316" s="35" t="n">
        <f aca="false"> MOD(280.4664567 + 360007.6982779*L316/10 + 0.03032028*L316^2/100 + L316^3/49931000,360)</f>
        <v>230.129105730946</v>
      </c>
      <c r="AO316" s="32" t="n">
        <f aca="false"> AN316 + (1.9146 - 0.004817*L316 - 0.000014*L316^2)*SIN(Q316)+ (0.019993 - 0.000101*L316)*SIN(2*Q316)+ 0.00029*SIN(3*Q316)</f>
        <v>228.577596940349</v>
      </c>
      <c r="AP316" s="32" t="n">
        <f aca="false">ACOS(COS(W316-$A$10*AO316)*COS(Y316))/$A$10</f>
        <v>150.774775572142</v>
      </c>
      <c r="AQ316" s="34" t="n">
        <f aca="false">180 - AP316 -0.1468*(1-0.0549*SIN(Q316))*SIN($A$10*AP316)/(1-0.0167*SIN($A$10*AO316))</f>
        <v>29.151324715118</v>
      </c>
      <c r="AR316" s="64" t="n">
        <f aca="false">SIN($A$10*AI316)</f>
        <v>-0.193614376109535</v>
      </c>
      <c r="AS316" s="64" t="n">
        <f aca="false">COS($A$10*AI316)*SIN($A$10*$B$5) - TAN($A$10*AG316)*COS($A$10*$B$5)</f>
        <v>0.440329158030692</v>
      </c>
      <c r="AT316" s="24" t="n">
        <f aca="false">IF(OR(AND(AR316*AS316&gt;0), AND(AR316&lt;0,AS316&gt;0)), MOD(ATAN2(AS316,AR316)/$A$10+360,360),  ATAN2(AS316,AR316)/$A$10)</f>
        <v>336.264728444051</v>
      </c>
      <c r="AU316" s="39" t="n">
        <f aca="false"> 385000.56 + (-20905355*COS(P316) - 3699111*COS(2*R316-P316) - 2955968*COS(2*R316) - 569925*COS(2*P316) + (1-0.002516*L316)*48888*COS(Q316) - 3149*COS(2*S316)  +246158*COS(2*R316-2*P316) -(1 - 0.002516*L316)*152138*COS(2*R316-Q316-P316) -170733*COS(2*R316+P316) -(1 - 0.002516*L316)*204586*COS(2*R316-Q316) -(1 - 0.002516*L316)*129620*COS(Q316-P316)  + 108743*COS(R316) +(1-0.002516*L316)*104755*COS(Q316+P316) +10321*COS(2*R316-2*S316) +79661*COS(P316-2*S316) -34782*COS(4*R316-P316) -23210*COS(3*P316)  -21636*COS(4*R316-2*P316) +(1 - 0.002516*L316)*24208*COS(2*R316+Q316-P316) +(1 - 0.002516*L316)*30824*COS(2*R316+Q316) -8379*COS(R316-P316) -(1 - 0.002516*L316)*16675*COS(R316+Q316)  -(1 - 0.002516*L316)*12831*COS(2*R316-Q316+P316) -10445*COS(2*R316+2*P316) -11650*COS(4*R316) +14403*COS(2*R316-3*P316) -(1-0.002516*L316)*7003*COS(Q316-2*P316)  + (1 - 0.002516*L316)*10056*COS(2*R316-Q316-2*P316) +6322*COS(R316+P316) -(1 - 0.002516*L316)*(1-0.002516*L316)*9884*COS(2*R316-2*Q316) +(1-0.002516*L316)*5751*COS(Q316+2*P316) - (1-0.002516*L316)^2*4950*COS(2*R316-2*Q316-P316)  +4130*COS(2*R316+P316-2*S316) -(1-0.002516*L316)*3958*COS(4*R316-Q316-P316) +3258*COS(3*R316-P316) +(1 - 0.002516*L316)*2616*COS(2*R316+Q316+P316) -(1 - 0.002516*L316)*1897*COS(4*R316-Q316-2*P316)  -(1-0.002516*L316)^2*2117*COS(2*Q316-P316) +(1-0.002516*L316)^2*2354*COS(2*R316+2*Q316-P316) -1423*COS(4*R316+P316) -1117*COS(4*P316) -(1-0.002516*L316)*1571*COS(4*R316-Q316)  -1739*COS(R316-2*P316) -4421*COS(2*P316-2*S316) +(1-0.002516*L316)^2*1165*COS(2*Q316+P316) +8752*COS(2*R316-P316-2*S316))/1000</f>
        <v>399381.424394686</v>
      </c>
      <c r="AV316" s="54" t="n">
        <f aca="false">ATAN(0.99664719*TAN($A$10*input!$E$2))</f>
        <v>0.871010436227447</v>
      </c>
      <c r="AW316" s="54" t="n">
        <f aca="false">COS(AV316)</f>
        <v>0.644053912545845</v>
      </c>
      <c r="AX316" s="54" t="n">
        <f aca="false">0.99664719*SIN(AV316)</f>
        <v>0.762415269897027</v>
      </c>
      <c r="AY316" s="54" t="n">
        <f aca="false">6378.14/AU316</f>
        <v>0.0159700467032659</v>
      </c>
      <c r="AZ316" s="55" t="n">
        <f aca="false">M316-15*AH316</f>
        <v>-11.1637906615394</v>
      </c>
      <c r="BA316" s="56" t="n">
        <f aca="false">COS($A$10*AG316)*SIN($A$10*AZ316)</f>
        <v>-0.174263176849995</v>
      </c>
      <c r="BB316" s="56" t="n">
        <f aca="false">COS($A$10*AG316)*COS($A$10*AZ316)-AW316*AY316</f>
        <v>0.872736247583953</v>
      </c>
      <c r="BC316" s="56" t="n">
        <f aca="false">SIN($A$10*AG316)-AX316*AY316</f>
        <v>0.423604886216757</v>
      </c>
      <c r="BD316" s="57" t="n">
        <f aca="false">SQRT(BA316^2+BB316^2+BC316^2)</f>
        <v>0.985635486515925</v>
      </c>
      <c r="BE316" s="58" t="n">
        <f aca="false">AU316*BD316</f>
        <v>393644.504538679</v>
      </c>
    </row>
    <row r="317" customFormat="false" ht="15" hidden="false" customHeight="false" outlineLevel="0" collapsed="false">
      <c r="D317" s="41" t="n">
        <f aca="false">K317-INT(275*E317/9)+IF($A$8="common year",2,1)*INT((E317+9)/12)+30</f>
        <v>12</v>
      </c>
      <c r="E317" s="41" t="n">
        <f aca="false">IF(K317&lt;32,1,INT(9*(IF($A$8="common year",2,1)+K317)/275+0.98))</f>
        <v>11</v>
      </c>
      <c r="F317" s="42" t="n">
        <f aca="false">AM317</f>
        <v>60.5298688280742</v>
      </c>
      <c r="G317" s="60" t="n">
        <f aca="false">F317+1.02/(TAN($A$10*(F317+10.3/(F317+5.11)))*60)</f>
        <v>60.5394139393046</v>
      </c>
      <c r="H317" s="43" t="n">
        <f aca="false">100*(1+COS($A$10*AQ317))/2</f>
        <v>88.1623938327753</v>
      </c>
      <c r="I317" s="43" t="n">
        <f aca="false">IF(AI317&gt;180,AT317-180,AT317+180)</f>
        <v>132.729826409647</v>
      </c>
      <c r="J317" s="61" t="n">
        <f aca="false">$J$2+K316</f>
        <v>2459895.5</v>
      </c>
      <c r="K317" s="21" t="n">
        <v>316</v>
      </c>
      <c r="L317" s="62" t="n">
        <f aca="false">(J317-2451545)/36525</f>
        <v>0.228624229979466</v>
      </c>
      <c r="M317" s="63" t="n">
        <f aca="false">MOD(280.46061837+360.98564736629*(J317-2451545)+0.000387933*L317^2-L317^3/38710000+$B$7,360)</f>
        <v>66.1089708511718</v>
      </c>
      <c r="N317" s="30" t="n">
        <f aca="false">0.606433+1336.855225*L317 - INT(0.606433+1336.855225*L317)</f>
        <v>0.243929409650946</v>
      </c>
      <c r="O317" s="35" t="n">
        <f aca="false">22640*SIN(P317)-4586*SIN(P317-2*R317)+2370*SIN(2*R317)+769*SIN(2*P317)-668*SIN(Q317)-412*SIN(2*S317)-212*SIN(2*P317-2*R317)-206*SIN(P317+Q317-2*R317)+192*SIN(P317+2*R317)-165*SIN(Q317-2*R317)-125*SIN(R317)-110*SIN(P317+Q317)+148*SIN(P317-Q317)-55*SIN(2*S317-2*R317)</f>
        <v>7068.98589869704</v>
      </c>
      <c r="P317" s="32" t="n">
        <f aca="false">2*PI()*(0.374897+1325.55241*L317 - INT(0.374897+1325.55241*L317))</f>
        <v>2.6910633459136</v>
      </c>
      <c r="Q317" s="36" t="n">
        <f aca="false">2*PI()*(0.993133+99.997361*L317 - INT(0.993133+99.997361*L317))</f>
        <v>5.37182598287287</v>
      </c>
      <c r="R317" s="36" t="n">
        <f aca="false">2*PI()*(0.827361+1236.853086*L317 - INT(0.827361+1236.853086*L317))</f>
        <v>3.78213439546692</v>
      </c>
      <c r="S317" s="36" t="n">
        <f aca="false">2*PI()*(0.259086+1342.227825*L317 - INT(0.259086+1342.227825*L317))</f>
        <v>0.784700400832122</v>
      </c>
      <c r="T317" s="36" t="n">
        <f aca="false">S317+(O317+412*SIN(2*S317)+541*SIN(Q317))/206264.8062</f>
        <v>0.818896312164826</v>
      </c>
      <c r="U317" s="36" t="n">
        <f aca="false">S317-2*R317</f>
        <v>-6.77956839010171</v>
      </c>
      <c r="V317" s="34" t="n">
        <f aca="false">-526*SIN(U317)+44*SIN(P317+U317)-31*SIN(-P317+U317)-23*SIN(Q317+U317)+11*SIN(-Q317+U317)-25*SIN(-2*P317+S317)+21*SIN(-P317+S317)</f>
        <v>267.262809628507</v>
      </c>
      <c r="W317" s="36" t="n">
        <f aca="false">2*PI()*(N317+O317/1296000-INT(N317+O317/1296000))</f>
        <v>1.5669250934604</v>
      </c>
      <c r="X317" s="35" t="n">
        <f aca="false">W317*180/PI()</f>
        <v>89.7781946684229</v>
      </c>
      <c r="Y317" s="36" t="n">
        <f aca="false">(18520*SIN(T317)+V317)/206264.8062</f>
        <v>0.0668758319979575</v>
      </c>
      <c r="Z317" s="36" t="n">
        <f aca="false">Y317*180/PI()</f>
        <v>3.83170292490891</v>
      </c>
      <c r="AA317" s="36" t="n">
        <f aca="false">COS(Y317)*COS(W317)</f>
        <v>0.00386257010539385</v>
      </c>
      <c r="AB317" s="36" t="n">
        <f aca="false">COS(Y317)*SIN(W317)</f>
        <v>0.997757168381775</v>
      </c>
      <c r="AC317" s="36" t="n">
        <f aca="false">SIN(Y317)</f>
        <v>0.0668259941561839</v>
      </c>
      <c r="AD317" s="36" t="n">
        <f aca="false">COS($A$10*(23.4393-46.815*L317/3600))*AB317-SIN($A$10*(23.4393-46.815*L317/3600))*AC317</f>
        <v>0.888866153860588</v>
      </c>
      <c r="AE317" s="36" t="n">
        <f aca="false">SIN($A$10*(23.4393-46.815*L317/3600))*AB317+COS($A$10*(23.4393-46.815*L317/3600))*AC317</f>
        <v>0.458150675076733</v>
      </c>
      <c r="AF317" s="36" t="n">
        <f aca="false">SQRT(1-AE317*AE317)</f>
        <v>0.888874546225019</v>
      </c>
      <c r="AG317" s="35" t="n">
        <f aca="false">ATAN(AE317/AF317)/$A$10</f>
        <v>27.2678381817238</v>
      </c>
      <c r="AH317" s="36" t="n">
        <f aca="false">IF(24*ATAN(AD317/(AA317+AF317))/PI()&gt;0,24*ATAN(AD317/(AA317+AF317))/PI(),24*ATAN(AD317/(AA317+AF317))/PI()+24)</f>
        <v>5.98340150755389</v>
      </c>
      <c r="AI317" s="63" t="n">
        <f aca="false">IF(M317-15*AH317&gt;0,M317-15*AH317,360+M317-15*AH317)</f>
        <v>336.357948237863</v>
      </c>
      <c r="AJ317" s="32" t="n">
        <f aca="false">0.950724+0.051818*COS(P317)+0.009531*COS(2*R317-P317)+0.007843*COS(2*R317)+0.002824*COS(2*P317)+0.000857*COS(2*R317+P317)+0.000533*COS(2*R317-Q317)*(1-0.002495*(J317-2415020)/36525)+0.000401*COS(2*R317-Q317-P317)*(1-0.002495*(J317-2415020)/36525)+0.00032*COS(P317-Q317)*(1-0.002495*(J317-2415020)/36525)-0.000271*COS(R317)</f>
        <v>0.908991525155952</v>
      </c>
      <c r="AK317" s="36" t="n">
        <f aca="false">ASIN(COS($A$10*$B$5)*COS($A$10*AG317)*COS($A$10*AI317)+SIN($A$10*$B$5)*SIN($A$10*AG317))/$A$10</f>
        <v>60.9700911483174</v>
      </c>
      <c r="AL317" s="32" t="n">
        <f aca="false">ASIN((0.9983271+0.0016764*COS($A$10*2*$B$5))*COS($A$10*AK317)*SIN($A$10*AJ317))/$A$10</f>
        <v>0.440222320243211</v>
      </c>
      <c r="AM317" s="32" t="n">
        <f aca="false">AK317-AL317</f>
        <v>60.5298688280742</v>
      </c>
      <c r="AN317" s="35" t="n">
        <f aca="false"> MOD(280.4664567 + 360007.6982779*L317/10 + 0.03032028*L317^2/100 + L317^3/49931000,360)</f>
        <v>231.114753094846</v>
      </c>
      <c r="AO317" s="32" t="n">
        <f aca="false"> AN317 + (1.9146 - 0.004817*L317 - 0.000014*L317^2)*SIN(Q317)+ (0.019993 - 0.000101*L317)*SIN(2*Q317)+ 0.00029*SIN(3*Q317)</f>
        <v>229.582989788637</v>
      </c>
      <c r="AP317" s="32" t="n">
        <f aca="false">ACOS(COS(W317-$A$10*AO317)*COS(Y317))/$A$10</f>
        <v>139.653447822737</v>
      </c>
      <c r="AQ317" s="34" t="n">
        <f aca="false">180 - AP317 -0.1468*(1-0.0549*SIN(Q317))*SIN($A$10*AP317)/(1-0.0167*SIN($A$10*AO317))</f>
        <v>40.248633758756</v>
      </c>
      <c r="AR317" s="64" t="n">
        <f aca="false">SIN($A$10*AI317)</f>
        <v>-0.401021481493061</v>
      </c>
      <c r="AS317" s="64" t="n">
        <f aca="false">COS($A$10*AI317)*SIN($A$10*$B$5) - TAN($A$10*AG317)*COS($A$10*$B$5)</f>
        <v>0.370438678459008</v>
      </c>
      <c r="AT317" s="24" t="n">
        <f aca="false">IF(OR(AND(AR317*AS317&gt;0), AND(AR317&lt;0,AS317&gt;0)), MOD(ATAN2(AS317,AR317)/$A$10+360,360),  ATAN2(AS317,AR317)/$A$10)</f>
        <v>312.729826409647</v>
      </c>
      <c r="AU317" s="39" t="n">
        <f aca="false"> 385000.56 + (-20905355*COS(P317) - 3699111*COS(2*R317-P317) - 2955968*COS(2*R317) - 569925*COS(2*P317) + (1-0.002516*L317)*48888*COS(Q317) - 3149*COS(2*S317)  +246158*COS(2*R317-2*P317) -(1 - 0.002516*L317)*152138*COS(2*R317-Q317-P317) -170733*COS(2*R317+P317) -(1 - 0.002516*L317)*204586*COS(2*R317-Q317) -(1 - 0.002516*L317)*129620*COS(Q317-P317)  + 108743*COS(R317) +(1-0.002516*L317)*104755*COS(Q317+P317) +10321*COS(2*R317-2*S317) +79661*COS(P317-2*S317) -34782*COS(4*R317-P317) -23210*COS(3*P317)  -21636*COS(4*R317-2*P317) +(1 - 0.002516*L317)*24208*COS(2*R317+Q317-P317) +(1 - 0.002516*L317)*30824*COS(2*R317+Q317) -8379*COS(R317-P317) -(1 - 0.002516*L317)*16675*COS(R317+Q317)  -(1 - 0.002516*L317)*12831*COS(2*R317-Q317+P317) -10445*COS(2*R317+2*P317) -11650*COS(4*R317) +14403*COS(2*R317-3*P317) -(1-0.002516*L317)*7003*COS(Q317-2*P317)  + (1 - 0.002516*L317)*10056*COS(2*R317-Q317-2*P317) +6322*COS(R317+P317) -(1 - 0.002516*L317)*(1-0.002516*L317)*9884*COS(2*R317-2*Q317) +(1-0.002516*L317)*5751*COS(Q317+2*P317) - (1-0.002516*L317)^2*4950*COS(2*R317-2*Q317-P317)  +4130*COS(2*R317+P317-2*S317) -(1-0.002516*L317)*3958*COS(4*R317-Q317-P317) +3258*COS(3*R317-P317) +(1 - 0.002516*L317)*2616*COS(2*R317+Q317+P317) -(1 - 0.002516*L317)*1897*COS(4*R317-Q317-2*P317)  -(1-0.002516*L317)^2*2117*COS(2*Q317-P317) +(1-0.002516*L317)^2*2354*COS(2*R317+2*Q317-P317) -1423*COS(4*R317+P317) -1117*COS(4*P317) -(1-0.002516*L317)*1571*COS(4*R317-Q317)  -1739*COS(R317-2*P317) -4421*COS(2*P317-2*S317) +(1-0.002516*L317)^2*1165*COS(2*Q317+P317) +8752*COS(2*R317-P317-2*S317))/1000</f>
        <v>402073.89863423</v>
      </c>
      <c r="AV317" s="54" t="n">
        <f aca="false">ATAN(0.99664719*TAN($A$10*input!$E$2))</f>
        <v>0.871010436227447</v>
      </c>
      <c r="AW317" s="54" t="n">
        <f aca="false">COS(AV317)</f>
        <v>0.644053912545845</v>
      </c>
      <c r="AX317" s="54" t="n">
        <f aca="false">0.99664719*SIN(AV317)</f>
        <v>0.762415269897027</v>
      </c>
      <c r="AY317" s="54" t="n">
        <f aca="false">6378.14/AU317</f>
        <v>0.0158631038265984</v>
      </c>
      <c r="AZ317" s="55" t="n">
        <f aca="false">M317-15*AH317</f>
        <v>-23.6420517621365</v>
      </c>
      <c r="BA317" s="56" t="n">
        <f aca="false">COS($A$10*AG317)*SIN($A$10*AZ317)</f>
        <v>-0.35645778738863</v>
      </c>
      <c r="BB317" s="56" t="n">
        <f aca="false">COS($A$10*AG317)*COS($A$10*AZ317)-AW317*AY317</f>
        <v>0.804053411431173</v>
      </c>
      <c r="BC317" s="56" t="n">
        <f aca="false">SIN($A$10*AG317)-AX317*AY317</f>
        <v>0.446056402491373</v>
      </c>
      <c r="BD317" s="57" t="n">
        <f aca="false">SQRT(BA317^2+BB317^2+BC317^2)</f>
        <v>0.986169537568288</v>
      </c>
      <c r="BE317" s="58" t="n">
        <f aca="false">AU317*BD317</f>
        <v>396513.030684397</v>
      </c>
    </row>
    <row r="318" customFormat="false" ht="15" hidden="false" customHeight="false" outlineLevel="0" collapsed="false">
      <c r="D318" s="41" t="n">
        <f aca="false">K318-INT(275*E318/9)+IF($A$8="common year",2,1)*INT((E318+9)/12)+30</f>
        <v>13</v>
      </c>
      <c r="E318" s="41" t="n">
        <f aca="false">IF(K318&lt;32,1,INT(9*(IF($A$8="common year",2,1)+K318)/275+0.98))</f>
        <v>11</v>
      </c>
      <c r="F318" s="42" t="n">
        <f aca="false">AM318</f>
        <v>53.9070426537437</v>
      </c>
      <c r="G318" s="60" t="n">
        <f aca="false">F318+1.02/(TAN($A$10*(F318+10.3/(F318+5.11)))*60)</f>
        <v>53.9193569377433</v>
      </c>
      <c r="H318" s="43" t="n">
        <f aca="false">100*(1+COS($A$10*AQ318))/2</f>
        <v>81.3346037592639</v>
      </c>
      <c r="I318" s="43" t="n">
        <f aca="false">IF(AI318&gt;180,AT318-180,AT318+180)</f>
        <v>115.837157210851</v>
      </c>
      <c r="J318" s="61" t="n">
        <f aca="false">$J$2+K317</f>
        <v>2459896.5</v>
      </c>
      <c r="K318" s="21" t="n">
        <v>317</v>
      </c>
      <c r="L318" s="62" t="n">
        <f aca="false">(J318-2451545)/36525</f>
        <v>0.228651608487337</v>
      </c>
      <c r="M318" s="63" t="n">
        <f aca="false">MOD(280.46061837+360.98564736629*(J318-2451545)+0.000387933*L318^2-L318^3/38710000+$B$7,360)</f>
        <v>67.0946182222106</v>
      </c>
      <c r="N318" s="30" t="n">
        <f aca="false">0.606433+1336.855225*L318 - INT(0.606433+1336.855225*L318)</f>
        <v>0.280530510951394</v>
      </c>
      <c r="O318" s="35" t="n">
        <f aca="false">22640*SIN(P318)-4586*SIN(P318-2*R318)+2370*SIN(2*R318)+769*SIN(2*P318)-668*SIN(Q318)-412*SIN(2*S318)-212*SIN(2*P318-2*R318)-206*SIN(P318+Q318-2*R318)+192*SIN(P318+2*R318)-165*SIN(Q318-2*R318)-125*SIN(R318)-110*SIN(P318+Q318)+148*SIN(P318-Q318)-55*SIN(2*S318-2*R318)</f>
        <v>2762.26652207071</v>
      </c>
      <c r="P318" s="32" t="n">
        <f aca="false">2*PI()*(0.374897+1325.55241*L318 - INT(0.374897+1325.55241*L318))</f>
        <v>2.91909048968906</v>
      </c>
      <c r="Q318" s="36" t="n">
        <f aca="false">2*PI()*(0.993133+99.997361*L318 - INT(0.993133+99.997361*L318))</f>
        <v>5.38902795273986</v>
      </c>
      <c r="R318" s="36" t="n">
        <f aca="false">2*PI()*(0.827361+1236.853086*L318 - INT(0.827361+1236.853086*L318))</f>
        <v>3.99490310558558</v>
      </c>
      <c r="S318" s="36" t="n">
        <f aca="false">2*PI()*(0.259086+1342.227825*L318 - INT(0.259086+1342.227825*L318))</f>
        <v>1.01559612017277</v>
      </c>
      <c r="T318" s="36" t="n">
        <f aca="false">S318+(O318+412*SIN(2*S318)+541*SIN(Q318))/206264.8062</f>
        <v>1.02873243726815</v>
      </c>
      <c r="U318" s="36" t="n">
        <f aca="false">S318-2*R318</f>
        <v>-6.9742100909984</v>
      </c>
      <c r="V318" s="34" t="n">
        <f aca="false">-526*SIN(U318)+44*SIN(P318+U318)-31*SIN(-P318+U318)-23*SIN(Q318+U318)+11*SIN(-Q318+U318)-25*SIN(-2*P318+S318)+21*SIN(-P318+S318)</f>
        <v>336.588599577406</v>
      </c>
      <c r="W318" s="36" t="n">
        <f aca="false">2*PI()*(N318+O318/1296000-INT(N318+O318/1296000))</f>
        <v>1.77601703063309</v>
      </c>
      <c r="X318" s="35" t="n">
        <f aca="false">W318*180/PI()</f>
        <v>101.758280198633</v>
      </c>
      <c r="Y318" s="36" t="n">
        <f aca="false">(18520*SIN(T318)+V318)/206264.8062</f>
        <v>0.0785479012094049</v>
      </c>
      <c r="Z318" s="36" t="n">
        <f aca="false">Y318*180/PI()</f>
        <v>4.50046322890944</v>
      </c>
      <c r="AA318" s="36" t="n">
        <f aca="false">COS(Y318)*COS(W318)</f>
        <v>-0.203154912477575</v>
      </c>
      <c r="AB318" s="36" t="n">
        <f aca="false">COS(Y318)*SIN(W318)</f>
        <v>0.975997431870073</v>
      </c>
      <c r="AC318" s="36" t="n">
        <f aca="false">SIN(Y318)</f>
        <v>0.0784671556719857</v>
      </c>
      <c r="AD318" s="36" t="n">
        <f aca="false">COS($A$10*(23.4393-46.815*L318/3600))*AB318-SIN($A$10*(23.4393-46.815*L318/3600))*AC318</f>
        <v>0.864271505473007</v>
      </c>
      <c r="AE318" s="36" t="n">
        <f aca="false">SIN($A$10*(23.4393-46.815*L318/3600))*AB318+COS($A$10*(23.4393-46.815*L318/3600))*AC318</f>
        <v>0.460176972874188</v>
      </c>
      <c r="AF318" s="36" t="n">
        <f aca="false">SQRT(1-AE318*AE318)</f>
        <v>0.887827209335437</v>
      </c>
      <c r="AG318" s="35" t="n">
        <f aca="false">ATAN(AE318/AF318)/$A$10</f>
        <v>27.3985278274464</v>
      </c>
      <c r="AH318" s="36" t="n">
        <f aca="false">IF(24*ATAN(AD318/(AA318+AF318))/PI()&gt;0,24*ATAN(AD318/(AA318+AF318))/PI(),24*ATAN(AD318/(AA318+AF318))/PI()+24)</f>
        <v>6.88185080103501</v>
      </c>
      <c r="AI318" s="63" t="n">
        <f aca="false">IF(M318-15*AH318&gt;0,M318-15*AH318,360+M318-15*AH318)</f>
        <v>323.866856206685</v>
      </c>
      <c r="AJ318" s="32" t="n">
        <f aca="false">0.950724+0.051818*COS(P318)+0.009531*COS(2*R318-P318)+0.007843*COS(2*R318)+0.002824*COS(2*P318)+0.000857*COS(2*R318+P318)+0.000533*COS(2*R318-Q318)*(1-0.002495*(J318-2415020)/36525)+0.000401*COS(2*R318-Q318-P318)*(1-0.002495*(J318-2415020)/36525)+0.00032*COS(P318-Q318)*(1-0.002495*(J318-2415020)/36525)-0.000271*COS(R318)</f>
        <v>0.904791380787411</v>
      </c>
      <c r="AK318" s="36" t="n">
        <f aca="false">ASIN(COS($A$10*$B$5)*COS($A$10*AG318)*COS($A$10*AI318)+SIN($A$10*$B$5)*SIN($A$10*AG318))/$A$10</f>
        <v>54.4322798377942</v>
      </c>
      <c r="AL318" s="32" t="n">
        <f aca="false">ASIN((0.9983271+0.0016764*COS($A$10*2*$B$5))*COS($A$10*AK318)*SIN($A$10*AJ318))/$A$10</f>
        <v>0.525237184050581</v>
      </c>
      <c r="AM318" s="32" t="n">
        <f aca="false">AK318-AL318</f>
        <v>53.9070426537437</v>
      </c>
      <c r="AN318" s="35" t="n">
        <f aca="false"> MOD(280.4664567 + 360007.6982779*L318/10 + 0.03032028*L318^2/100 + L318^3/49931000,360)</f>
        <v>232.100400458743</v>
      </c>
      <c r="AO318" s="32" t="n">
        <f aca="false"> AN318 + (1.9146 - 0.004817*L318 - 0.000014*L318^2)*SIN(Q318)+ (0.019993 - 0.000101*L318)*SIN(2*Q318)+ 0.00029*SIN(3*Q318)</f>
        <v>230.588853321746</v>
      </c>
      <c r="AP318" s="32" t="n">
        <f aca="false">ACOS(COS(W318-$A$10*AO318)*COS(Y318))/$A$10</f>
        <v>128.6885210661</v>
      </c>
      <c r="AQ318" s="34" t="n">
        <f aca="false">180 - AP318 -0.1468*(1-0.0549*SIN(Q318))*SIN($A$10*AP318)/(1-0.0167*SIN($A$10*AO318))</f>
        <v>51.1935106783888</v>
      </c>
      <c r="AR318" s="64" t="n">
        <f aca="false">SIN($A$10*AI318)</f>
        <v>-0.589663655297852</v>
      </c>
      <c r="AS318" s="64" t="n">
        <f aca="false">COS($A$10*AI318)*SIN($A$10*$B$5) - TAN($A$10*AG318)*COS($A$10*$B$5)</f>
        <v>0.285526468658062</v>
      </c>
      <c r="AT318" s="24" t="n">
        <f aca="false">IF(OR(AND(AR318*AS318&gt;0), AND(AR318&lt;0,AS318&gt;0)), MOD(ATAN2(AS318,AR318)/$A$10+360,360),  ATAN2(AS318,AR318)/$A$10)</f>
        <v>295.837157210851</v>
      </c>
      <c r="AU318" s="39" t="n">
        <f aca="false"> 385000.56 + (-20905355*COS(P318) - 3699111*COS(2*R318-P318) - 2955968*COS(2*R318) - 569925*COS(2*P318) + (1-0.002516*L318)*48888*COS(Q318) - 3149*COS(2*S318)  +246158*COS(2*R318-2*P318) -(1 - 0.002516*L318)*152138*COS(2*R318-Q318-P318) -170733*COS(2*R318+P318) -(1 - 0.002516*L318)*204586*COS(2*R318-Q318) -(1 - 0.002516*L318)*129620*COS(Q318-P318)  + 108743*COS(R318) +(1-0.002516*L318)*104755*COS(Q318+P318) +10321*COS(2*R318-2*S318) +79661*COS(P318-2*S318) -34782*COS(4*R318-P318) -23210*COS(3*P318)  -21636*COS(4*R318-2*P318) +(1 - 0.002516*L318)*24208*COS(2*R318+Q318-P318) +(1 - 0.002516*L318)*30824*COS(2*R318+Q318) -8379*COS(R318-P318) -(1 - 0.002516*L318)*16675*COS(R318+Q318)  -(1 - 0.002516*L318)*12831*COS(2*R318-Q318+P318) -10445*COS(2*R318+2*P318) -11650*COS(4*R318) +14403*COS(2*R318-3*P318) -(1-0.002516*L318)*7003*COS(Q318-2*P318)  + (1 - 0.002516*L318)*10056*COS(2*R318-Q318-2*P318) +6322*COS(R318+P318) -(1 - 0.002516*L318)*(1-0.002516*L318)*9884*COS(2*R318-2*Q318) +(1-0.002516*L318)*5751*COS(Q318+2*P318) - (1-0.002516*L318)^2*4950*COS(2*R318-2*Q318-P318)  +4130*COS(2*R318+P318-2*S318) -(1-0.002516*L318)*3958*COS(4*R318-Q318-P318) +3258*COS(3*R318-P318) +(1 - 0.002516*L318)*2616*COS(2*R318+Q318+P318) -(1 - 0.002516*L318)*1897*COS(4*R318-Q318-2*P318)  -(1-0.002516*L318)^2*2117*COS(2*Q318-P318) +(1-0.002516*L318)^2*2354*COS(2*R318+2*Q318-P318) -1423*COS(4*R318+P318) -1117*COS(4*P318) -(1-0.002516*L318)*1571*COS(4*R318-Q318)  -1739*COS(R318-2*P318) -4421*COS(2*P318-2*S318) +(1-0.002516*L318)^2*1165*COS(2*Q318+P318) +8752*COS(2*R318-P318-2*S318))/1000</f>
        <v>403977.879696008</v>
      </c>
      <c r="AV318" s="54" t="n">
        <f aca="false">ATAN(0.99664719*TAN($A$10*input!$E$2))</f>
        <v>0.871010436227447</v>
      </c>
      <c r="AW318" s="54" t="n">
        <f aca="false">COS(AV318)</f>
        <v>0.644053912545845</v>
      </c>
      <c r="AX318" s="54" t="n">
        <f aca="false">0.99664719*SIN(AV318)</f>
        <v>0.762415269897027</v>
      </c>
      <c r="AY318" s="54" t="n">
        <f aca="false">6378.14/AU318</f>
        <v>0.0157883397100839</v>
      </c>
      <c r="AZ318" s="55" t="n">
        <f aca="false">M318-15*AH318</f>
        <v>-36.1331437933146</v>
      </c>
      <c r="BA318" s="56" t="n">
        <f aca="false">COS($A$10*AG318)*SIN($A$10*AZ318)</f>
        <v>-0.523519437529626</v>
      </c>
      <c r="BB318" s="56" t="n">
        <f aca="false">COS($A$10*AG318)*COS($A$10*AZ318)-AW318*AY318</f>
        <v>0.706884142409063</v>
      </c>
      <c r="BC318" s="56" t="n">
        <f aca="false">SIN($A$10*AG318)-AX318*AY318</f>
        <v>0.448139701592898</v>
      </c>
      <c r="BD318" s="57" t="n">
        <f aca="false">SQRT(BA318^2+BB318^2+BC318^2)</f>
        <v>0.987211722177419</v>
      </c>
      <c r="BE318" s="58" t="n">
        <f aca="false">AU318*BD318</f>
        <v>398811.698336278</v>
      </c>
    </row>
    <row r="319" customFormat="false" ht="15" hidden="false" customHeight="false" outlineLevel="0" collapsed="false">
      <c r="D319" s="41" t="n">
        <f aca="false">K319-INT(275*E319/9)+IF($A$8="common year",2,1)*INT((E319+9)/12)+30</f>
        <v>14</v>
      </c>
      <c r="E319" s="41" t="n">
        <f aca="false">IF(K319&lt;32,1,INT(9*(IF($A$8="common year",2,1)+K319)/275+0.98))</f>
        <v>11</v>
      </c>
      <c r="F319" s="42" t="n">
        <f aca="false">AM319</f>
        <v>45.5720326465415</v>
      </c>
      <c r="G319" s="60" t="n">
        <f aca="false">F319+1.02/(TAN($A$10*(F319+10.3/(F319+5.11)))*60)</f>
        <v>45.5885787121227</v>
      </c>
      <c r="H319" s="43" t="n">
        <f aca="false">100*(1+COS($A$10*AQ319))/2</f>
        <v>73.4409022582756</v>
      </c>
      <c r="I319" s="43" t="n">
        <f aca="false">IF(AI319&gt;180,AT319-180,AT319+180)</f>
        <v>104.371308836252</v>
      </c>
      <c r="J319" s="61" t="n">
        <f aca="false">$J$2+K318</f>
        <v>2459897.5</v>
      </c>
      <c r="K319" s="21" t="n">
        <v>318</v>
      </c>
      <c r="L319" s="62" t="n">
        <f aca="false">(J319-2451545)/36525</f>
        <v>0.228678986995209</v>
      </c>
      <c r="M319" s="63" t="n">
        <f aca="false">MOD(280.46061837+360.98564736629*(J319-2451545)+0.000387933*L319^2-L319^3/38710000+$B$7,360)</f>
        <v>68.0802655932494</v>
      </c>
      <c r="N319" s="30" t="n">
        <f aca="false">0.606433+1336.855225*L319 - INT(0.606433+1336.855225*L319)</f>
        <v>0.317131612251842</v>
      </c>
      <c r="O319" s="35" t="n">
        <f aca="false">22640*SIN(P319)-4586*SIN(P319-2*R319)+2370*SIN(2*R319)+769*SIN(2*P319)-668*SIN(Q319)-412*SIN(2*S319)-212*SIN(2*P319-2*R319)-206*SIN(P319+Q319-2*R319)+192*SIN(P319+2*R319)-165*SIN(Q319-2*R319)-125*SIN(R319)-110*SIN(P319+Q319)+148*SIN(P319-Q319)-55*SIN(2*S319-2*R319)</f>
        <v>-1837.54761576036</v>
      </c>
      <c r="P319" s="32" t="n">
        <f aca="false">2*PI()*(0.374897+1325.55241*L319 - INT(0.374897+1325.55241*L319))</f>
        <v>3.14711763346488</v>
      </c>
      <c r="Q319" s="36" t="n">
        <f aca="false">2*PI()*(0.993133+99.997361*L319 - INT(0.993133+99.997361*L319))</f>
        <v>5.40622992260684</v>
      </c>
      <c r="R319" s="36" t="n">
        <f aca="false">2*PI()*(0.827361+1236.853086*L319 - INT(0.827361+1236.853086*L319))</f>
        <v>4.20767181570461</v>
      </c>
      <c r="S319" s="36" t="n">
        <f aca="false">2*PI()*(0.259086+1342.227825*L319 - INT(0.259086+1342.227825*L319))</f>
        <v>1.24649183951377</v>
      </c>
      <c r="T319" s="36" t="n">
        <f aca="false">S319+(O319+412*SIN(2*S319)+541*SIN(Q319))/206264.8062</f>
        <v>1.23677333416361</v>
      </c>
      <c r="U319" s="36" t="n">
        <f aca="false">S319-2*R319</f>
        <v>-7.16885179189544</v>
      </c>
      <c r="V319" s="34" t="n">
        <f aca="false">-526*SIN(U319)+44*SIN(P319+U319)-31*SIN(-P319+U319)-23*SIN(Q319+U319)+11*SIN(-Q319+U319)-25*SIN(-2*P319+S319)+21*SIN(-P319+S319)</f>
        <v>396.112145242441</v>
      </c>
      <c r="W319" s="36" t="n">
        <f aca="false">2*PI()*(N319+O319/1296000-INT(N319+O319/1296000))</f>
        <v>1.98368800430484</v>
      </c>
      <c r="X319" s="35" t="n">
        <f aca="false">W319*180/PI()</f>
        <v>113.656950517396</v>
      </c>
      <c r="Y319" s="36" t="n">
        <f aca="false">(18520*SIN(T319)+V319)/206264.8062</f>
        <v>0.0867454408146132</v>
      </c>
      <c r="Z319" s="36" t="n">
        <f aca="false">Y319*180/PI()</f>
        <v>4.97014765067921</v>
      </c>
      <c r="AA319" s="36" t="n">
        <f aca="false">COS(Y319)*COS(W319)</f>
        <v>-0.399750928153757</v>
      </c>
      <c r="AB319" s="36" t="n">
        <f aca="false">COS(Y319)*SIN(W319)</f>
        <v>0.912520289677942</v>
      </c>
      <c r="AC319" s="36" t="n">
        <f aca="false">SIN(Y319)</f>
        <v>0.0866366918014214</v>
      </c>
      <c r="AD319" s="36" t="n">
        <f aca="false">COS($A$10*(23.4393-46.815*L319/3600))*AB319-SIN($A$10*(23.4393-46.815*L319/3600))*AC319</f>
        <v>0.802781795518869</v>
      </c>
      <c r="AE319" s="36" t="n">
        <f aca="false">SIN($A$10*(23.4393-46.815*L319/3600))*AB319+COS($A$10*(23.4393-46.815*L319/3600))*AC319</f>
        <v>0.44242579516085</v>
      </c>
      <c r="AF319" s="36" t="n">
        <f aca="false">SQRT(1-AE319*AE319)</f>
        <v>0.896805115828567</v>
      </c>
      <c r="AG319" s="35" t="n">
        <f aca="false">ATAN(AE319/AF319)/$A$10</f>
        <v>26.2587591363976</v>
      </c>
      <c r="AH319" s="36" t="n">
        <f aca="false">IF(24*ATAN(AD319/(AA319+AF319))/PI()&gt;0,24*ATAN(AD319/(AA319+AF319))/PI(),24*ATAN(AD319/(AA319+AF319))/PI()+24)</f>
        <v>7.76475579646482</v>
      </c>
      <c r="AI319" s="63" t="n">
        <f aca="false">IF(M319-15*AH319&gt;0,M319-15*AH319,360+M319-15*AH319)</f>
        <v>311.608928646277</v>
      </c>
      <c r="AJ319" s="32" t="n">
        <f aca="false">0.950724+0.051818*COS(P319)+0.009531*COS(2*R319-P319)+0.007843*COS(2*R319)+0.002824*COS(2*P319)+0.000857*COS(2*R319+P319)+0.000533*COS(2*R319-Q319)*(1-0.002495*(J319-2415020)/36525)+0.000401*COS(2*R319-Q319-P319)*(1-0.002495*(J319-2415020)/36525)+0.00032*COS(P319-Q319)*(1-0.002495*(J319-2415020)/36525)-0.000271*COS(R319)</f>
        <v>0.902842421705248</v>
      </c>
      <c r="AK319" s="36" t="n">
        <f aca="false">ASIN(COS($A$10*$B$5)*COS($A$10*AG319)*COS($A$10*AI319)+SIN($A$10*$B$5)*SIN($A$10*AG319))/$A$10</f>
        <v>46.1957364668505</v>
      </c>
      <c r="AL319" s="32" t="n">
        <f aca="false">ASIN((0.9983271+0.0016764*COS($A$10*2*$B$5))*COS($A$10*AK319)*SIN($A$10*AJ319))/$A$10</f>
        <v>0.623703820308984</v>
      </c>
      <c r="AM319" s="32" t="n">
        <f aca="false">AK319-AL319</f>
        <v>45.5720326465415</v>
      </c>
      <c r="AN319" s="35" t="n">
        <f aca="false"> MOD(280.4664567 + 360007.6982779*L319/10 + 0.03032028*L319^2/100 + L319^3/49931000,360)</f>
        <v>233.086047822644</v>
      </c>
      <c r="AO319" s="32" t="n">
        <f aca="false"> AN319 + (1.9146 - 0.004817*L319 - 0.000014*L319^2)*SIN(Q319)+ (0.019993 - 0.000101*L319)*SIN(2*Q319)+ 0.00029*SIN(3*Q319)</f>
        <v>231.595181731601</v>
      </c>
      <c r="AP319" s="32" t="n">
        <f aca="false">ACOS(COS(W319-$A$10*AO319)*COS(Y319))/$A$10</f>
        <v>117.824041106463</v>
      </c>
      <c r="AQ319" s="34" t="n">
        <f aca="false">180 - AP319 -0.1468*(1-0.0549*SIN(Q319))*SIN($A$10*AP319)/(1-0.0167*SIN($A$10*AO319))</f>
        <v>62.0423993905774</v>
      </c>
      <c r="AR319" s="64" t="n">
        <f aca="false">SIN($A$10*AI319)</f>
        <v>-0.747694618958877</v>
      </c>
      <c r="AS319" s="64" t="n">
        <f aca="false">COS($A$10*AI319)*SIN($A$10*$B$5) - TAN($A$10*AG319)*COS($A$10*$B$5)</f>
        <v>0.19157630560535</v>
      </c>
      <c r="AT319" s="24" t="n">
        <f aca="false">IF(OR(AND(AR319*AS319&gt;0), AND(AR319&lt;0,AS319&gt;0)), MOD(ATAN2(AS319,AR319)/$A$10+360,360),  ATAN2(AS319,AR319)/$A$10)</f>
        <v>284.371308836252</v>
      </c>
      <c r="AU319" s="39" t="n">
        <f aca="false"> 385000.56 + (-20905355*COS(P319) - 3699111*COS(2*R319-P319) - 2955968*COS(2*R319) - 569925*COS(2*P319) + (1-0.002516*L319)*48888*COS(Q319) - 3149*COS(2*S319)  +246158*COS(2*R319-2*P319) -(1 - 0.002516*L319)*152138*COS(2*R319-Q319-P319) -170733*COS(2*R319+P319) -(1 - 0.002516*L319)*204586*COS(2*R319-Q319) -(1 - 0.002516*L319)*129620*COS(Q319-P319)  + 108743*COS(R319) +(1-0.002516*L319)*104755*COS(Q319+P319) +10321*COS(2*R319-2*S319) +79661*COS(P319-2*S319) -34782*COS(4*R319-P319) -23210*COS(3*P319)  -21636*COS(4*R319-2*P319) +(1 - 0.002516*L319)*24208*COS(2*R319+Q319-P319) +(1 - 0.002516*L319)*30824*COS(2*R319+Q319) -8379*COS(R319-P319) -(1 - 0.002516*L319)*16675*COS(R319+Q319)  -(1 - 0.002516*L319)*12831*COS(2*R319-Q319+P319) -10445*COS(2*R319+2*P319) -11650*COS(4*R319) +14403*COS(2*R319-3*P319) -(1-0.002516*L319)*7003*COS(Q319-2*P319)  + (1 - 0.002516*L319)*10056*COS(2*R319-Q319-2*P319) +6322*COS(R319+P319) -(1 - 0.002516*L319)*(1-0.002516*L319)*9884*COS(2*R319-2*Q319) +(1-0.002516*L319)*5751*COS(Q319+2*P319) - (1-0.002516*L319)^2*4950*COS(2*R319-2*Q319-P319)  +4130*COS(2*R319+P319-2*S319) -(1-0.002516*L319)*3958*COS(4*R319-Q319-P319) +3258*COS(3*R319-P319) +(1 - 0.002516*L319)*2616*COS(2*R319+Q319+P319) -(1 - 0.002516*L319)*1897*COS(4*R319-Q319-2*P319)  -(1-0.002516*L319)^2*2117*COS(2*Q319-P319) +(1-0.002516*L319)^2*2354*COS(2*R319+2*Q319-P319) -1423*COS(4*R319+P319) -1117*COS(4*P319) -(1-0.002516*L319)*1571*COS(4*R319-Q319)  -1739*COS(R319-2*P319) -4421*COS(2*P319-2*S319) +(1-0.002516*L319)^2*1165*COS(2*Q319+P319) +8752*COS(2*R319-P319-2*S319))/1000</f>
        <v>404875.580718657</v>
      </c>
      <c r="AV319" s="54" t="n">
        <f aca="false">ATAN(0.99664719*TAN($A$10*input!$E$2))</f>
        <v>0.871010436227447</v>
      </c>
      <c r="AW319" s="54" t="n">
        <f aca="false">COS(AV319)</f>
        <v>0.644053912545845</v>
      </c>
      <c r="AX319" s="54" t="n">
        <f aca="false">0.99664719*SIN(AV319)</f>
        <v>0.762415269897027</v>
      </c>
      <c r="AY319" s="54" t="n">
        <f aca="false">6378.14/AU319</f>
        <v>0.0157533333788093</v>
      </c>
      <c r="AZ319" s="55" t="n">
        <f aca="false">M319-15*AH319</f>
        <v>-48.391071353723</v>
      </c>
      <c r="BA319" s="56" t="n">
        <f aca="false">COS($A$10*AG319)*SIN($A$10*AZ319)</f>
        <v>-0.670536359359813</v>
      </c>
      <c r="BB319" s="56" t="n">
        <f aca="false">COS($A$10*AG319)*COS($A$10*AZ319)-AW319*AY319</f>
        <v>0.585370927819003</v>
      </c>
      <c r="BC319" s="56" t="n">
        <f aca="false">SIN($A$10*AG319)-AX319*AY319</f>
        <v>0.430415213241067</v>
      </c>
      <c r="BD319" s="57" t="n">
        <f aca="false">SQRT(BA319^2+BB319^2+BC319^2)</f>
        <v>0.988703893058254</v>
      </c>
      <c r="BE319" s="58" t="n">
        <f aca="false">AU319*BD319</f>
        <v>400302.062860757</v>
      </c>
    </row>
    <row r="320" customFormat="false" ht="15" hidden="false" customHeight="false" outlineLevel="0" collapsed="false">
      <c r="D320" s="41" t="n">
        <f aca="false">K320-INT(275*E320/9)+IF($A$8="common year",2,1)*INT((E320+9)/12)+30</f>
        <v>15</v>
      </c>
      <c r="E320" s="41" t="n">
        <f aca="false">IF(K320&lt;32,1,INT(9*(IF($A$8="common year",2,1)+K320)/275+0.98))</f>
        <v>11</v>
      </c>
      <c r="F320" s="42" t="n">
        <f aca="false">AM320</f>
        <v>36.3408539784811</v>
      </c>
      <c r="G320" s="60" t="n">
        <f aca="false">F320+1.02/(TAN($A$10*(F320+10.3/(F320+5.11)))*60)</f>
        <v>36.3637533966831</v>
      </c>
      <c r="H320" s="43" t="n">
        <f aca="false">100*(1+COS($A$10*AQ320))/2</f>
        <v>64.7352899423768</v>
      </c>
      <c r="I320" s="43" t="n">
        <f aca="false">IF(AI320&gt;180,AT320-180,AT320+180)</f>
        <v>96.2406561224785</v>
      </c>
      <c r="J320" s="61" t="n">
        <f aca="false">$J$2+K319</f>
        <v>2459898.5</v>
      </c>
      <c r="K320" s="21" t="n">
        <v>319</v>
      </c>
      <c r="L320" s="62" t="n">
        <f aca="false">(J320-2451545)/36525</f>
        <v>0.22870636550308</v>
      </c>
      <c r="M320" s="63" t="n">
        <f aca="false">MOD(280.46061837+360.98564736629*(J320-2451545)+0.000387933*L320^2-L320^3/38710000+$B$7,360)</f>
        <v>69.0659129647538</v>
      </c>
      <c r="N320" s="30" t="n">
        <f aca="false">0.606433+1336.855225*L320 - INT(0.606433+1336.855225*L320)</f>
        <v>0.353732713552347</v>
      </c>
      <c r="O320" s="35" t="n">
        <f aca="false">22640*SIN(P320)-4586*SIN(P320-2*R320)+2370*SIN(2*R320)+769*SIN(2*P320)-668*SIN(Q320)-412*SIN(2*S320)-212*SIN(2*P320-2*R320)-206*SIN(P320+Q320-2*R320)+192*SIN(P320+2*R320)-165*SIN(Q320-2*R320)-125*SIN(R320)-110*SIN(P320+Q320)+148*SIN(P320-Q320)-55*SIN(2*S320-2*R320)</f>
        <v>-6517.90111183329</v>
      </c>
      <c r="P320" s="32" t="n">
        <f aca="false">2*PI()*(0.374897+1325.55241*L320 - INT(0.374897+1325.55241*L320))</f>
        <v>3.3751447772407</v>
      </c>
      <c r="Q320" s="36" t="n">
        <f aca="false">2*PI()*(0.993133+99.997361*L320 - INT(0.993133+99.997361*L320))</f>
        <v>5.42343189247385</v>
      </c>
      <c r="R320" s="36" t="n">
        <f aca="false">2*PI()*(0.827361+1236.853086*L320 - INT(0.827361+1236.853086*L320))</f>
        <v>4.42044052582363</v>
      </c>
      <c r="S320" s="36" t="n">
        <f aca="false">2*PI()*(0.259086+1342.227825*L320 - INT(0.259086+1342.227825*L320))</f>
        <v>1.47738755885478</v>
      </c>
      <c r="T320" s="36" t="n">
        <f aca="false">S320+(O320+412*SIN(2*S320)+541*SIN(Q320))/206264.8062</f>
        <v>1.44417159185596</v>
      </c>
      <c r="U320" s="36" t="n">
        <f aca="false">S320-2*R320</f>
        <v>-7.36349349279249</v>
      </c>
      <c r="V320" s="34" t="n">
        <f aca="false">-526*SIN(U320)+44*SIN(P320+U320)-31*SIN(-P320+U320)-23*SIN(Q320+U320)+11*SIN(-Q320+U320)-25*SIN(-2*P320+S320)+21*SIN(-P320+S320)</f>
        <v>444.946897337858</v>
      </c>
      <c r="W320" s="36" t="n">
        <f aca="false">2*PI()*(N320+O320/1296000-INT(N320+O320/1296000))</f>
        <v>2.19096851214951</v>
      </c>
      <c r="X320" s="35" t="n">
        <f aca="false">W320*180/PI()</f>
        <v>125.533248792225</v>
      </c>
      <c r="Y320" s="36" t="n">
        <f aca="false">(18520*SIN(T320)+V320)/206264.8062</f>
        <v>0.0912258000536692</v>
      </c>
      <c r="Z320" s="36" t="n">
        <f aca="false">Y320*180/PI()</f>
        <v>5.22685332577956</v>
      </c>
      <c r="AA320" s="36" t="n">
        <f aca="false">COS(Y320)*COS(W320)</f>
        <v>-0.578758653558514</v>
      </c>
      <c r="AB320" s="36" t="n">
        <f aca="false">COS(Y320)*SIN(W320)</f>
        <v>0.810394555001156</v>
      </c>
      <c r="AC320" s="36" t="n">
        <f aca="false">SIN(Y320)</f>
        <v>0.0910993202807471</v>
      </c>
      <c r="AD320" s="36" t="n">
        <f aca="false">COS($A$10*(23.4393-46.815*L320/3600))*AB320-SIN($A$10*(23.4393-46.815*L320/3600))*AC320</f>
        <v>0.707306246597891</v>
      </c>
      <c r="AE320" s="36" t="n">
        <f aca="false">SIN($A$10*(23.4393-46.815*L320/3600))*AB320+COS($A$10*(23.4393-46.815*L320/3600))*AC320</f>
        <v>0.405901828592506</v>
      </c>
      <c r="AF320" s="36" t="n">
        <f aca="false">SQRT(1-AE320*AE320)</f>
        <v>0.913916684137706</v>
      </c>
      <c r="AG320" s="35" t="n">
        <f aca="false">ATAN(AE320/AF320)/$A$10</f>
        <v>23.9476527123069</v>
      </c>
      <c r="AH320" s="36" t="n">
        <f aca="false">IF(24*ATAN(AD320/(AA320+AF320))/PI()&gt;0,24*ATAN(AD320/(AA320+AF320))/PI(),24*ATAN(AD320/(AA320+AF320))/PI()+24)</f>
        <v>8.61946698851802</v>
      </c>
      <c r="AI320" s="63" t="n">
        <f aca="false">IF(M320-15*AH320&gt;0,M320-15*AH320,360+M320-15*AH320)</f>
        <v>299.773908136984</v>
      </c>
      <c r="AJ320" s="32" t="n">
        <f aca="false">0.950724+0.051818*COS(P320)+0.009531*COS(2*R320-P320)+0.007843*COS(2*R320)+0.002824*COS(2*P320)+0.000857*COS(2*R320+P320)+0.000533*COS(2*R320-Q320)*(1-0.002495*(J320-2415020)/36525)+0.000401*COS(2*R320-Q320-P320)*(1-0.002495*(J320-2415020)/36525)+0.00032*COS(P320-Q320)*(1-0.002495*(J320-2415020)/36525)-0.000271*COS(R320)</f>
        <v>0.90343521644631</v>
      </c>
      <c r="AK320" s="36" t="n">
        <f aca="false">ASIN(COS($A$10*$B$5)*COS($A$10*AG320)*COS($A$10*AI320)+SIN($A$10*$B$5)*SIN($A$10*AG320))/$A$10</f>
        <v>37.0603693189269</v>
      </c>
      <c r="AL320" s="32" t="n">
        <f aca="false">ASIN((0.9983271+0.0016764*COS($A$10*2*$B$5))*COS($A$10*AK320)*SIN($A$10*AJ320))/$A$10</f>
        <v>0.719515340445798</v>
      </c>
      <c r="AM320" s="32" t="n">
        <f aca="false">AK320-AL320</f>
        <v>36.3408539784811</v>
      </c>
      <c r="AN320" s="35" t="n">
        <f aca="false"> MOD(280.4664567 + 360007.6982779*L320/10 + 0.03032028*L320^2/100 + L320^3/49931000,360)</f>
        <v>234.071695186545</v>
      </c>
      <c r="AO320" s="32" t="n">
        <f aca="false"> AN320 + (1.9146 - 0.004817*L320 - 0.000014*L320^2)*SIN(Q320)+ (0.019993 - 0.000101*L320)*SIN(2*Q320)+ 0.00029*SIN(3*Q320)</f>
        <v>232.601969051268</v>
      </c>
      <c r="AP320" s="32" t="n">
        <f aca="false">ACOS(COS(W320-$A$10*AO320)*COS(Y320))/$A$10</f>
        <v>106.995582687369</v>
      </c>
      <c r="AQ320" s="34" t="n">
        <f aca="false">180 - AP320 -0.1468*(1-0.0549*SIN(Q320))*SIN($A$10*AP320)/(1-0.0167*SIN($A$10*AO320))</f>
        <v>72.8601033734233</v>
      </c>
      <c r="AR320" s="64" t="n">
        <f aca="false">SIN($A$10*AI320)</f>
        <v>-0.867991679817109</v>
      </c>
      <c r="AS320" s="64" t="n">
        <f aca="false">COS($A$10*AI320)*SIN($A$10*$B$5) - TAN($A$10*AG320)*COS($A$10*$B$5)</f>
        <v>0.0949173007557577</v>
      </c>
      <c r="AT320" s="24" t="n">
        <f aca="false">IF(OR(AND(AR320*AS320&gt;0), AND(AR320&lt;0,AS320&gt;0)), MOD(ATAN2(AS320,AR320)/$A$10+360,360),  ATAN2(AS320,AR320)/$A$10)</f>
        <v>276.240656122479</v>
      </c>
      <c r="AU320" s="39" t="n">
        <f aca="false"> 385000.56 + (-20905355*COS(P320) - 3699111*COS(2*R320-P320) - 2955968*COS(2*R320) - 569925*COS(2*P320) + (1-0.002516*L320)*48888*COS(Q320) - 3149*COS(2*S320)  +246158*COS(2*R320-2*P320) -(1 - 0.002516*L320)*152138*COS(2*R320-Q320-P320) -170733*COS(2*R320+P320) -(1 - 0.002516*L320)*204586*COS(2*R320-Q320) -(1 - 0.002516*L320)*129620*COS(Q320-P320)  + 108743*COS(R320) +(1-0.002516*L320)*104755*COS(Q320+P320) +10321*COS(2*R320-2*S320) +79661*COS(P320-2*S320) -34782*COS(4*R320-P320) -23210*COS(3*P320)  -21636*COS(4*R320-2*P320) +(1 - 0.002516*L320)*24208*COS(2*R320+Q320-P320) +(1 - 0.002516*L320)*30824*COS(2*R320+Q320) -8379*COS(R320-P320) -(1 - 0.002516*L320)*16675*COS(R320+Q320)  -(1 - 0.002516*L320)*12831*COS(2*R320-Q320+P320) -10445*COS(2*R320+2*P320) -11650*COS(4*R320) +14403*COS(2*R320-3*P320) -(1-0.002516*L320)*7003*COS(Q320-2*P320)  + (1 - 0.002516*L320)*10056*COS(2*R320-Q320-2*P320) +6322*COS(R320+P320) -(1 - 0.002516*L320)*(1-0.002516*L320)*9884*COS(2*R320-2*Q320) +(1-0.002516*L320)*5751*COS(Q320+2*P320) - (1-0.002516*L320)^2*4950*COS(2*R320-2*Q320-P320)  +4130*COS(2*R320+P320-2*S320) -(1-0.002516*L320)*3958*COS(4*R320-Q320-P320) +3258*COS(3*R320-P320) +(1 - 0.002516*L320)*2616*COS(2*R320+Q320+P320) -(1 - 0.002516*L320)*1897*COS(4*R320-Q320-2*P320)  -(1-0.002516*L320)^2*2117*COS(2*Q320-P320) +(1-0.002516*L320)^2*2354*COS(2*R320+2*Q320-P320) -1423*COS(4*R320+P320) -1117*COS(4*P320) -(1-0.002516*L320)*1571*COS(4*R320-Q320)  -1739*COS(R320-2*P320) -4421*COS(2*P320-2*S320) +(1-0.002516*L320)^2*1165*COS(2*Q320+P320) +8752*COS(2*R320-P320-2*S320))/1000</f>
        <v>404600.917147587</v>
      </c>
      <c r="AV320" s="54" t="n">
        <f aca="false">ATAN(0.99664719*TAN($A$10*input!$E$2))</f>
        <v>0.871010436227447</v>
      </c>
      <c r="AW320" s="54" t="n">
        <f aca="false">COS(AV320)</f>
        <v>0.644053912545845</v>
      </c>
      <c r="AX320" s="54" t="n">
        <f aca="false">0.99664719*SIN(AV320)</f>
        <v>0.762415269897027</v>
      </c>
      <c r="AY320" s="54" t="n">
        <f aca="false">6378.14/AU320</f>
        <v>0.0157640275384582</v>
      </c>
      <c r="AZ320" s="55" t="n">
        <f aca="false">M320-15*AH320</f>
        <v>-60.2260918630165</v>
      </c>
      <c r="BA320" s="56" t="n">
        <f aca="false">COS($A$10*AG320)*SIN($A$10*AZ320)</f>
        <v>-0.79327207787757</v>
      </c>
      <c r="BB320" s="56" t="n">
        <f aca="false">COS($A$10*AG320)*COS($A$10*AZ320)-AW320*AY320</f>
        <v>0.443678710708611</v>
      </c>
      <c r="BC320" s="56" t="n">
        <f aca="false">SIN($A$10*AG320)-AX320*AY320</f>
        <v>0.393883093282108</v>
      </c>
      <c r="BD320" s="57" t="n">
        <f aca="false">SQRT(BA320^2+BB320^2+BC320^2)</f>
        <v>0.990593397438997</v>
      </c>
      <c r="BE320" s="58" t="n">
        <f aca="false">AU320*BD320</f>
        <v>400794.997124163</v>
      </c>
    </row>
    <row r="321" customFormat="false" ht="15" hidden="false" customHeight="false" outlineLevel="0" collapsed="false">
      <c r="D321" s="41" t="n">
        <f aca="false">K321-INT(275*E321/9)+IF($A$8="common year",2,1)*INT((E321+9)/12)+30</f>
        <v>16</v>
      </c>
      <c r="E321" s="41" t="n">
        <f aca="false">IF(K321&lt;32,1,INT(9*(IF($A$8="common year",2,1)+K321)/275+0.98))</f>
        <v>11</v>
      </c>
      <c r="F321" s="42" t="n">
        <f aca="false">AM321</f>
        <v>26.5825998799359</v>
      </c>
      <c r="G321" s="60" t="n">
        <f aca="false">F321+1.02/(TAN($A$10*(F321+10.3/(F321+5.11)))*60)</f>
        <v>26.6160977017623</v>
      </c>
      <c r="H321" s="43" t="n">
        <f aca="false">100*(1+COS($A$10*AQ321))/2</f>
        <v>55.4705645345525</v>
      </c>
      <c r="I321" s="43" t="n">
        <f aca="false">IF(AI321&gt;180,AT321-180,AT321+180)</f>
        <v>90.0421725013431</v>
      </c>
      <c r="J321" s="61" t="n">
        <f aca="false">$J$2+K320</f>
        <v>2459899.5</v>
      </c>
      <c r="K321" s="21" t="n">
        <v>320</v>
      </c>
      <c r="L321" s="62" t="n">
        <f aca="false">(J321-2451545)/36525</f>
        <v>0.228733744010951</v>
      </c>
      <c r="M321" s="63" t="n">
        <f aca="false">MOD(280.46061837+360.98564736629*(J321-2451545)+0.000387933*L321^2-L321^3/38710000+$B$7,360)</f>
        <v>70.0515603357926</v>
      </c>
      <c r="N321" s="30" t="n">
        <f aca="false">0.606433+1336.855225*L321 - INT(0.606433+1336.855225*L321)</f>
        <v>0.390333814852795</v>
      </c>
      <c r="O321" s="35" t="n">
        <f aca="false">22640*SIN(P321)-4586*SIN(P321-2*R321)+2370*SIN(2*R321)+769*SIN(2*P321)-668*SIN(Q321)-412*SIN(2*S321)-212*SIN(2*P321-2*R321)-206*SIN(P321+Q321-2*R321)+192*SIN(P321+2*R321)-165*SIN(Q321-2*R321)-125*SIN(R321)-110*SIN(P321+Q321)+148*SIN(P321-Q321)-55*SIN(2*S321-2*R321)</f>
        <v>-11046.4595131445</v>
      </c>
      <c r="P321" s="32" t="n">
        <f aca="false">2*PI()*(0.374897+1325.55241*L321 - INT(0.374897+1325.55241*L321))</f>
        <v>3.60317192101616</v>
      </c>
      <c r="Q321" s="36" t="n">
        <f aca="false">2*PI()*(0.993133+99.997361*L321 - INT(0.993133+99.997361*L321))</f>
        <v>5.44063386234084</v>
      </c>
      <c r="R321" s="36" t="n">
        <f aca="false">2*PI()*(0.827361+1236.853086*L321 - INT(0.827361+1236.853086*L321))</f>
        <v>4.6332092359423</v>
      </c>
      <c r="S321" s="36" t="n">
        <f aca="false">2*PI()*(0.259086+1342.227825*L321 - INT(0.259086+1342.227825*L321))</f>
        <v>1.70828327819578</v>
      </c>
      <c r="T321" s="36" t="n">
        <f aca="false">S321+(O321+412*SIN(2*S321)+541*SIN(Q321))/206264.8062</f>
        <v>1.65222864312828</v>
      </c>
      <c r="U321" s="36" t="n">
        <f aca="false">S321-2*R321</f>
        <v>-7.55813519368882</v>
      </c>
      <c r="V321" s="34" t="n">
        <f aca="false">-526*SIN(U321)+44*SIN(P321+U321)-31*SIN(-P321+U321)-23*SIN(Q321+U321)+11*SIN(-Q321+U321)-25*SIN(-2*P321+S321)+21*SIN(-P321+S321)</f>
        <v>482.002227466619</v>
      </c>
      <c r="W321" s="36" t="n">
        <f aca="false">2*PI()*(N321+O321/1296000-INT(N321+O321/1296000))</f>
        <v>2.39898494338049</v>
      </c>
      <c r="X321" s="35" t="n">
        <f aca="false">W321*180/PI()</f>
        <v>137.451712371133</v>
      </c>
      <c r="Y321" s="36" t="n">
        <f aca="false">(18520*SIN(T321)+V321)/206264.8062</f>
        <v>0.0918267705695493</v>
      </c>
      <c r="Z321" s="36" t="n">
        <f aca="false">Y321*180/PI()</f>
        <v>5.26128639995129</v>
      </c>
      <c r="AA321" s="36" t="n">
        <f aca="false">COS(Y321)*COS(W321)</f>
        <v>-0.733603867264517</v>
      </c>
      <c r="AB321" s="36" t="n">
        <f aca="false">COS(Y321)*SIN(W321)</f>
        <v>0.67336237192791</v>
      </c>
      <c r="AC321" s="36" t="n">
        <f aca="false">SIN(Y321)</f>
        <v>0.091697775361041</v>
      </c>
      <c r="AD321" s="36" t="n">
        <f aca="false">COS($A$10*(23.4393-46.815*L321/3600))*AB321-SIN($A$10*(23.4393-46.815*L321/3600))*AC321</f>
        <v>0.581340834730158</v>
      </c>
      <c r="AE321" s="36" t="n">
        <f aca="false">SIN($A$10*(23.4393-46.815*L321/3600))*AB321+COS($A$10*(23.4393-46.815*L321/3600))*AC321</f>
        <v>0.351949143783287</v>
      </c>
      <c r="AF321" s="36" t="n">
        <f aca="false">SQRT(1-AE321*AE321)</f>
        <v>0.936019123837869</v>
      </c>
      <c r="AG321" s="35" t="n">
        <f aca="false">ATAN(AE321/AF321)/$A$10</f>
        <v>20.6065798853823</v>
      </c>
      <c r="AH321" s="36" t="n">
        <f aca="false">IF(24*ATAN(AD321/(AA321+AF321))/PI()&gt;0,24*ATAN(AD321/(AA321+AF321))/PI(),24*ATAN(AD321/(AA321+AF321))/PI()+24)</f>
        <v>9.44034036058575</v>
      </c>
      <c r="AI321" s="63" t="n">
        <f aca="false">IF(M321-15*AH321&gt;0,M321-15*AH321,360+M321-15*AH321)</f>
        <v>288.446454927006</v>
      </c>
      <c r="AJ321" s="32" t="n">
        <f aca="false">0.950724+0.051818*COS(P321)+0.009531*COS(2*R321-P321)+0.007843*COS(2*R321)+0.002824*COS(2*P321)+0.000857*COS(2*R321+P321)+0.000533*COS(2*R321-Q321)*(1-0.002495*(J321-2415020)/36525)+0.000401*COS(2*R321-Q321-P321)*(1-0.002495*(J321-2415020)/36525)+0.00032*COS(P321-Q321)*(1-0.002495*(J321-2415020)/36525)-0.000271*COS(R321)</f>
        <v>0.906778429280286</v>
      </c>
      <c r="AK321" s="36" t="n">
        <f aca="false">ASIN(COS($A$10*$B$5)*COS($A$10*AG321)*COS($A$10*AI321)+SIN($A$10*$B$5)*SIN($A$10*AG321))/$A$10</f>
        <v>27.3861639434961</v>
      </c>
      <c r="AL321" s="32" t="n">
        <f aca="false">ASIN((0.9983271+0.0016764*COS($A$10*2*$B$5))*COS($A$10*AK321)*SIN($A$10*AJ321))/$A$10</f>
        <v>0.803564063560168</v>
      </c>
      <c r="AM321" s="32" t="n">
        <f aca="false">AK321-AL321</f>
        <v>26.5825998799359</v>
      </c>
      <c r="AN321" s="35" t="n">
        <f aca="false"> MOD(280.4664567 + 360007.6982779*L321/10 + 0.03032028*L321^2/100 + L321^3/49931000,360)</f>
        <v>235.057342550444</v>
      </c>
      <c r="AO321" s="32" t="n">
        <f aca="false"> AN321 + (1.9146 - 0.004817*L321 - 0.000014*L321^2)*SIN(Q321)+ (0.019993 - 0.000101*L321)*SIN(2*Q321)+ 0.00029*SIN(3*Q321)</f>
        <v>233.609209156503</v>
      </c>
      <c r="AP321" s="32" t="n">
        <f aca="false">ACOS(COS(W321-$A$10*AO321)*COS(Y321))/$A$10</f>
        <v>96.1314548367604</v>
      </c>
      <c r="AQ321" s="34" t="n">
        <f aca="false">180 - AP321 -0.1468*(1-0.0549*SIN(Q321))*SIN($A$10*AP321)/(1-0.0167*SIN($A$10*AO321))</f>
        <v>83.7186198198616</v>
      </c>
      <c r="AR321" s="64" t="n">
        <f aca="false">SIN($A$10*AI321)</f>
        <v>-0.948619774251141</v>
      </c>
      <c r="AS321" s="64" t="n">
        <f aca="false">COS($A$10*AI321)*SIN($A$10*$B$5) - TAN($A$10*AG321)*COS($A$10*$B$5)</f>
        <v>0.000698230764434621</v>
      </c>
      <c r="AT321" s="24" t="n">
        <f aca="false">IF(OR(AND(AR321*AS321&gt;0), AND(AR321&lt;0,AS321&gt;0)), MOD(ATAN2(AS321,AR321)/$A$10+360,360),  ATAN2(AS321,AR321)/$A$10)</f>
        <v>270.042172501343</v>
      </c>
      <c r="AU321" s="39" t="n">
        <f aca="false"> 385000.56 + (-20905355*COS(P321) - 3699111*COS(2*R321-P321) - 2955968*COS(2*R321) - 569925*COS(2*P321) + (1-0.002516*L321)*48888*COS(Q321) - 3149*COS(2*S321)  +246158*COS(2*R321-2*P321) -(1 - 0.002516*L321)*152138*COS(2*R321-Q321-P321) -170733*COS(2*R321+P321) -(1 - 0.002516*L321)*204586*COS(2*R321-Q321) -(1 - 0.002516*L321)*129620*COS(Q321-P321)  + 108743*COS(R321) +(1-0.002516*L321)*104755*COS(Q321+P321) +10321*COS(2*R321-2*S321) +79661*COS(P321-2*S321) -34782*COS(4*R321-P321) -23210*COS(3*P321)  -21636*COS(4*R321-2*P321) +(1 - 0.002516*L321)*24208*COS(2*R321+Q321-P321) +(1 - 0.002516*L321)*30824*COS(2*R321+Q321) -8379*COS(R321-P321) -(1 - 0.002516*L321)*16675*COS(R321+Q321)  -(1 - 0.002516*L321)*12831*COS(2*R321-Q321+P321) -10445*COS(2*R321+2*P321) -11650*COS(4*R321) +14403*COS(2*R321-3*P321) -(1-0.002516*L321)*7003*COS(Q321-2*P321)  + (1 - 0.002516*L321)*10056*COS(2*R321-Q321-2*P321) +6322*COS(R321+P321) -(1 - 0.002516*L321)*(1-0.002516*L321)*9884*COS(2*R321-2*Q321) +(1-0.002516*L321)*5751*COS(Q321+2*P321) - (1-0.002516*L321)^2*4950*COS(2*R321-2*Q321-P321)  +4130*COS(2*R321+P321-2*S321) -(1-0.002516*L321)*3958*COS(4*R321-Q321-P321) +3258*COS(3*R321-P321) +(1 - 0.002516*L321)*2616*COS(2*R321+Q321+P321) -(1 - 0.002516*L321)*1897*COS(4*R321-Q321-2*P321)  -(1-0.002516*L321)^2*2117*COS(2*Q321-P321) +(1-0.002516*L321)^2*2354*COS(2*R321+2*Q321-P321) -1423*COS(4*R321+P321) -1117*COS(4*P321) -(1-0.002516*L321)*1571*COS(4*R321-Q321)  -1739*COS(R321-2*P321) -4421*COS(2*P321-2*S321) +(1-0.002516*L321)^2*1165*COS(2*Q321+P321) +8752*COS(2*R321-P321-2*S321))/1000</f>
        <v>403062.147405508</v>
      </c>
      <c r="AV321" s="54" t="n">
        <f aca="false">ATAN(0.99664719*TAN($A$10*input!$E$2))</f>
        <v>0.871010436227447</v>
      </c>
      <c r="AW321" s="54" t="n">
        <f aca="false">COS(AV321)</f>
        <v>0.644053912545845</v>
      </c>
      <c r="AX321" s="54" t="n">
        <f aca="false">0.99664719*SIN(AV321)</f>
        <v>0.762415269897027</v>
      </c>
      <c r="AY321" s="54" t="n">
        <f aca="false">6378.14/AU321</f>
        <v>0.0158242098422186</v>
      </c>
      <c r="AZ321" s="55" t="n">
        <f aca="false">M321-15*AH321</f>
        <v>-71.5535450729937</v>
      </c>
      <c r="BA321" s="56" t="n">
        <f aca="false">COS($A$10*AG321)*SIN($A$10*AZ321)</f>
        <v>-0.88792624994983</v>
      </c>
      <c r="BB321" s="56" t="n">
        <f aca="false">COS($A$10*AG321)*COS($A$10*AZ321)-AW321*AY321</f>
        <v>0.285981911006437</v>
      </c>
      <c r="BC321" s="56" t="n">
        <f aca="false">SIN($A$10*AG321)-AX321*AY321</f>
        <v>0.339884524565525</v>
      </c>
      <c r="BD321" s="57" t="n">
        <f aca="false">SQRT(BA321^2+BB321^2+BC321^2)</f>
        <v>0.992834411577275</v>
      </c>
      <c r="BE321" s="58" t="n">
        <f aca="false">AU321*BD321</f>
        <v>400173.969948421</v>
      </c>
    </row>
    <row r="322" customFormat="false" ht="15" hidden="false" customHeight="false" outlineLevel="0" collapsed="false">
      <c r="D322" s="41" t="n">
        <f aca="false">K322-INT(275*E322/9)+IF($A$8="common year",2,1)*INT((E322+9)/12)+30</f>
        <v>17</v>
      </c>
      <c r="E322" s="41" t="n">
        <f aca="false">IF(K322&lt;32,1,INT(9*(IF($A$8="common year",2,1)+K322)/275+0.98))</f>
        <v>11</v>
      </c>
      <c r="F322" s="42" t="n">
        <f aca="false">AM322</f>
        <v>16.4508173945247</v>
      </c>
      <c r="G322" s="60" t="n">
        <f aca="false">F322+1.02/(TAN($A$10*(F322+10.3/(F322+5.11)))*60)</f>
        <v>16.5066709579861</v>
      </c>
      <c r="H322" s="43" t="n">
        <f aca="false">100*(1+COS($A$10*AQ322))/2</f>
        <v>45.9060333214829</v>
      </c>
      <c r="I322" s="43" t="n">
        <f aca="false">IF(AI322&gt;180,AT322-180,AT322+180)</f>
        <v>84.9366015074314</v>
      </c>
      <c r="J322" s="61" t="n">
        <f aca="false">$J$2+K321</f>
        <v>2459900.5</v>
      </c>
      <c r="K322" s="21" t="n">
        <v>321</v>
      </c>
      <c r="L322" s="62" t="n">
        <f aca="false">(J322-2451545)/36525</f>
        <v>0.228761122518823</v>
      </c>
      <c r="M322" s="63" t="n">
        <f aca="false">MOD(280.46061837+360.98564736629*(J322-2451545)+0.000387933*L322^2-L322^3/38710000+$B$7,360)</f>
        <v>71.0372077068314</v>
      </c>
      <c r="N322" s="30" t="n">
        <f aca="false">0.606433+1336.855225*L322 - INT(0.606433+1336.855225*L322)</f>
        <v>0.4269349161533</v>
      </c>
      <c r="O322" s="35" t="n">
        <f aca="false">22640*SIN(P322)-4586*SIN(P322-2*R322)+2370*SIN(2*R322)+769*SIN(2*P322)-668*SIN(Q322)-412*SIN(2*S322)-212*SIN(2*P322-2*R322)-206*SIN(P322+Q322-2*R322)+192*SIN(P322+2*R322)-165*SIN(Q322-2*R322)-125*SIN(R322)-110*SIN(P322+Q322)+148*SIN(P322-Q322)-55*SIN(2*S322-2*R322)</f>
        <v>-15169.9583934064</v>
      </c>
      <c r="P322" s="32" t="n">
        <f aca="false">2*PI()*(0.374897+1325.55241*L322 - INT(0.374897+1325.55241*L322))</f>
        <v>3.83119906479198</v>
      </c>
      <c r="Q322" s="36" t="n">
        <f aca="false">2*PI()*(0.993133+99.997361*L322 - INT(0.993133+99.997361*L322))</f>
        <v>5.45783583220782</v>
      </c>
      <c r="R322" s="36" t="n">
        <f aca="false">2*PI()*(0.827361+1236.853086*L322 - INT(0.827361+1236.853086*L322))</f>
        <v>4.84597794606132</v>
      </c>
      <c r="S322" s="36" t="n">
        <f aca="false">2*PI()*(0.259086+1342.227825*L322 - INT(0.259086+1342.227825*L322))</f>
        <v>1.93917899753679</v>
      </c>
      <c r="T322" s="36" t="n">
        <f aca="false">S322+(O322+412*SIN(2*S322)+541*SIN(Q322))/206264.8062</f>
        <v>1.86236367295744</v>
      </c>
      <c r="U322" s="36" t="n">
        <f aca="false">S322-2*R322</f>
        <v>-7.75277689458586</v>
      </c>
      <c r="V322" s="34" t="n">
        <f aca="false">-526*SIN(U322)+44*SIN(P322+U322)-31*SIN(-P322+U322)-23*SIN(Q322+U322)+11*SIN(-Q322+U322)-25*SIN(-2*P322+S322)+21*SIN(-P322+S322)</f>
        <v>505.882905896695</v>
      </c>
      <c r="W322" s="36" t="n">
        <f aca="false">2*PI()*(N322+O322/1296000-INT(N322+O322/1296000))</f>
        <v>2.60896515858651</v>
      </c>
      <c r="X322" s="35" t="n">
        <f aca="false">W322*180/PI()</f>
        <v>149.482692483686</v>
      </c>
      <c r="Y322" s="36" t="n">
        <f aca="false">(18520*SIN(T322)+V322)/206264.8062</f>
        <v>0.0884505583618581</v>
      </c>
      <c r="Z322" s="36" t="n">
        <f aca="false">Y322*180/PI()</f>
        <v>5.06784368971004</v>
      </c>
      <c r="AA322" s="36" t="n">
        <f aca="false">COS(Y322)*COS(W322)</f>
        <v>-0.858108125332505</v>
      </c>
      <c r="AB322" s="36" t="n">
        <f aca="false">COS(Y322)*SIN(W322)</f>
        <v>0.505813527976478</v>
      </c>
      <c r="AC322" s="36" t="n">
        <f aca="false">SIN(Y322)</f>
        <v>0.0883352712925138</v>
      </c>
      <c r="AD322" s="36" t="n">
        <f aca="false">COS($A$10*(23.4393-46.815*L322/3600))*AB322-SIN($A$10*(23.4393-46.815*L322/3600))*AC322</f>
        <v>0.428951695844292</v>
      </c>
      <c r="AE322" s="36" t="n">
        <f aca="false">SIN($A$10*(23.4393-46.815*L322/3600))*AB322+COS($A$10*(23.4393-46.815*L322/3600))*AC322</f>
        <v>0.282224888822088</v>
      </c>
      <c r="AF322" s="36" t="n">
        <f aca="false">SQRT(1-AE322*AE322)</f>
        <v>0.959348274678889</v>
      </c>
      <c r="AG322" s="35" t="n">
        <f aca="false">ATAN(AE322/AF322)/$A$10</f>
        <v>16.3930380080059</v>
      </c>
      <c r="AH322" s="36" t="n">
        <f aca="false">IF(24*ATAN(AD322/(AA322+AF322))/PI()&gt;0,24*ATAN(AD322/(AA322+AF322))/PI(),24*ATAN(AD322/(AA322+AF322))/PI()+24)</f>
        <v>10.2293611400303</v>
      </c>
      <c r="AI322" s="63" t="n">
        <f aca="false">IF(M322-15*AH322&gt;0,M322-15*AH322,360+M322-15*AH322)</f>
        <v>277.596790606377</v>
      </c>
      <c r="AJ322" s="32" t="n">
        <f aca="false">0.950724+0.051818*COS(P322)+0.009531*COS(2*R322-P322)+0.007843*COS(2*R322)+0.002824*COS(2*P322)+0.000857*COS(2*R322+P322)+0.000533*COS(2*R322-Q322)*(1-0.002495*(J322-2415020)/36525)+0.000401*COS(2*R322-Q322-P322)*(1-0.002495*(J322-2415020)/36525)+0.00032*COS(P322-Q322)*(1-0.002495*(J322-2415020)/36525)-0.000271*COS(R322)</f>
        <v>0.912975842519381</v>
      </c>
      <c r="AK322" s="36" t="n">
        <f aca="false">ASIN(COS($A$10*$B$5)*COS($A$10*AG322)*COS($A$10*AI322)+SIN($A$10*$B$5)*SIN($A$10*AG322))/$A$10</f>
        <v>17.3206777293156</v>
      </c>
      <c r="AL322" s="32" t="n">
        <f aca="false">ASIN((0.9983271+0.0016764*COS($A$10*2*$B$5))*COS($A$10*AK322)*SIN($A$10*AJ322))/$A$10</f>
        <v>0.869860334790908</v>
      </c>
      <c r="AM322" s="32" t="n">
        <f aca="false">AK322-AL322</f>
        <v>16.4508173945247</v>
      </c>
      <c r="AN322" s="35" t="n">
        <f aca="false"> MOD(280.4664567 + 360007.6982779*L322/10 + 0.03032028*L322^2/100 + L322^3/49931000,360)</f>
        <v>236.042989914347</v>
      </c>
      <c r="AO322" s="32" t="n">
        <f aca="false"> AN322 + (1.9146 - 0.004817*L322 - 0.000014*L322^2)*SIN(Q322)+ (0.019993 - 0.000101*L322)*SIN(2*Q322)+ 0.00029*SIN(3*Q322)</f>
        <v>234.616895767367</v>
      </c>
      <c r="AP322" s="32" t="n">
        <f aca="false">ACOS(COS(W322-$A$10*AO322)*COS(Y322))/$A$10</f>
        <v>85.1532702517883</v>
      </c>
      <c r="AQ322" s="34" t="n">
        <f aca="false">180 - AP322 -0.1468*(1-0.0549*SIN(Q322))*SIN($A$10*AP322)/(1-0.0167*SIN($A$10*AO322))</f>
        <v>94.6965980877852</v>
      </c>
      <c r="AR322" s="64" t="n">
        <f aca="false">SIN($A$10*AI322)</f>
        <v>-0.991222946970191</v>
      </c>
      <c r="AS322" s="64" t="n">
        <f aca="false">COS($A$10*AI322)*SIN($A$10*$B$5) - TAN($A$10*AG322)*COS($A$10*$B$5)</f>
        <v>-0.0878260740601342</v>
      </c>
      <c r="AT322" s="24" t="n">
        <f aca="false">IF(OR(AND(AR322*AS322&gt;0), AND(AR322&lt;0,AS322&gt;0)), MOD(ATAN2(AS322,AR322)/$A$10+360,360),  ATAN2(AS322,AR322)/$A$10)</f>
        <v>264.936601507431</v>
      </c>
      <c r="AU322" s="39" t="n">
        <f aca="false"> 385000.56 + (-20905355*COS(P322) - 3699111*COS(2*R322-P322) - 2955968*COS(2*R322) - 569925*COS(2*P322) + (1-0.002516*L322)*48888*COS(Q322) - 3149*COS(2*S322)  +246158*COS(2*R322-2*P322) -(1 - 0.002516*L322)*152138*COS(2*R322-Q322-P322) -170733*COS(2*R322+P322) -(1 - 0.002516*L322)*204586*COS(2*R322-Q322) -(1 - 0.002516*L322)*129620*COS(Q322-P322)  + 108743*COS(R322) +(1-0.002516*L322)*104755*COS(Q322+P322) +10321*COS(2*R322-2*S322) +79661*COS(P322-2*S322) -34782*COS(4*R322-P322) -23210*COS(3*P322)  -21636*COS(4*R322-2*P322) +(1 - 0.002516*L322)*24208*COS(2*R322+Q322-P322) +(1 - 0.002516*L322)*30824*COS(2*R322+Q322) -8379*COS(R322-P322) -(1 - 0.002516*L322)*16675*COS(R322+Q322)  -(1 - 0.002516*L322)*12831*COS(2*R322-Q322+P322) -10445*COS(2*R322+2*P322) -11650*COS(4*R322) +14403*COS(2*R322-3*P322) -(1-0.002516*L322)*7003*COS(Q322-2*P322)  + (1 - 0.002516*L322)*10056*COS(2*R322-Q322-2*P322) +6322*COS(R322+P322) -(1 - 0.002516*L322)*(1-0.002516*L322)*9884*COS(2*R322-2*Q322) +(1-0.002516*L322)*5751*COS(Q322+2*P322) - (1-0.002516*L322)^2*4950*COS(2*R322-2*Q322-P322)  +4130*COS(2*R322+P322-2*S322) -(1-0.002516*L322)*3958*COS(4*R322-Q322-P322) +3258*COS(3*R322-P322) +(1 - 0.002516*L322)*2616*COS(2*R322+Q322+P322) -(1 - 0.002516*L322)*1897*COS(4*R322-Q322-2*P322)  -(1-0.002516*L322)^2*2117*COS(2*Q322-P322) +(1-0.002516*L322)^2*2354*COS(2*R322+2*Q322-P322) -1423*COS(4*R322+P322) -1117*COS(4*P322) -(1-0.002516*L322)*1571*COS(4*R322-Q322)  -1739*COS(R322-2*P322) -4421*COS(2*P322-2*S322) +(1-0.002516*L322)^2*1165*COS(2*Q322+P322) +8752*COS(2*R322-P322-2*S322))/1000</f>
        <v>400260.11335897</v>
      </c>
      <c r="AV322" s="54" t="n">
        <f aca="false">ATAN(0.99664719*TAN($A$10*input!$E$2))</f>
        <v>0.871010436227447</v>
      </c>
      <c r="AW322" s="54" t="n">
        <f aca="false">COS(AV322)</f>
        <v>0.644053912545845</v>
      </c>
      <c r="AX322" s="54" t="n">
        <f aca="false">0.99664719*SIN(AV322)</f>
        <v>0.762415269897027</v>
      </c>
      <c r="AY322" s="54" t="n">
        <f aca="false">6378.14/AU322</f>
        <v>0.0159349877420332</v>
      </c>
      <c r="AZ322" s="55" t="n">
        <f aca="false">M322-15*AH322</f>
        <v>-82.4032093936232</v>
      </c>
      <c r="BA322" s="56" t="n">
        <f aca="false">COS($A$10*AG322)*SIN($A$10*AZ322)</f>
        <v>-0.950928023997976</v>
      </c>
      <c r="BB322" s="56" t="n">
        <f aca="false">COS($A$10*AG322)*COS($A$10*AZ322)-AW322*AY322</f>
        <v>0.116563683061578</v>
      </c>
      <c r="BC322" s="56" t="n">
        <f aca="false">SIN($A$10*AG322)-AX322*AY322</f>
        <v>0.27007581084194</v>
      </c>
      <c r="BD322" s="57" t="n">
        <f aca="false">SQRT(BA322^2+BB322^2+BC322^2)</f>
        <v>0.995385424162674</v>
      </c>
      <c r="BE322" s="58" t="n">
        <f aca="false">AU322*BD322</f>
        <v>398413.082711218</v>
      </c>
    </row>
    <row r="323" customFormat="false" ht="15" hidden="false" customHeight="false" outlineLevel="0" collapsed="false">
      <c r="D323" s="41" t="n">
        <f aca="false">K323-INT(275*E323/9)+IF($A$8="common year",2,1)*INT((E323+9)/12)+30</f>
        <v>18</v>
      </c>
      <c r="E323" s="41" t="n">
        <f aca="false">IF(K323&lt;32,1,INT(9*(IF($A$8="common year",2,1)+K323)/275+0.98))</f>
        <v>11</v>
      </c>
      <c r="F323" s="42" t="n">
        <f aca="false">AM323</f>
        <v>6.00029008555178</v>
      </c>
      <c r="G323" s="60" t="n">
        <f aca="false">F323+1.02/(TAN($A$10*(F323+10.3/(F323+5.11)))*60)</f>
        <v>6.14021029748287</v>
      </c>
      <c r="H323" s="43" t="n">
        <f aca="false">100*(1+COS($A$10*AQ323))/2</f>
        <v>36.3208044231479</v>
      </c>
      <c r="I323" s="43" t="n">
        <f aca="false">IF(AI323&gt;180,AT323-180,AT323+180)</f>
        <v>80.3882478442984</v>
      </c>
      <c r="J323" s="61" t="n">
        <f aca="false">$J$2+K322</f>
        <v>2459901.5</v>
      </c>
      <c r="K323" s="21" t="n">
        <v>322</v>
      </c>
      <c r="L323" s="62" t="n">
        <f aca="false">(J323-2451545)/36525</f>
        <v>0.228788501026694</v>
      </c>
      <c r="M323" s="63" t="n">
        <f aca="false">MOD(280.46061837+360.98564736629*(J323-2451545)+0.000387933*L323^2-L323^3/38710000+$B$7,360)</f>
        <v>72.0228550778702</v>
      </c>
      <c r="N323" s="30" t="n">
        <f aca="false">0.606433+1336.855225*L323 - INT(0.606433+1336.855225*L323)</f>
        <v>0.463536017453805</v>
      </c>
      <c r="O323" s="35" t="n">
        <f aca="false">22640*SIN(P323)-4586*SIN(P323-2*R323)+2370*SIN(2*R323)+769*SIN(2*P323)-668*SIN(Q323)-412*SIN(2*S323)-212*SIN(2*P323-2*R323)-206*SIN(P323+Q323-2*R323)+192*SIN(P323+2*R323)-165*SIN(Q323-2*R323)-125*SIN(R323)-110*SIN(P323+Q323)+148*SIN(P323-Q323)-55*SIN(2*S323-2*R323)</f>
        <v>-18616.9690440473</v>
      </c>
      <c r="P323" s="32" t="n">
        <f aca="false">2*PI()*(0.374897+1325.55241*L323 - INT(0.374897+1325.55241*L323))</f>
        <v>4.0592262085678</v>
      </c>
      <c r="Q323" s="36" t="n">
        <f aca="false">2*PI()*(0.993133+99.997361*L323 - INT(0.993133+99.997361*L323))</f>
        <v>5.47503780207483</v>
      </c>
      <c r="R323" s="36" t="n">
        <f aca="false">2*PI()*(0.827361+1236.853086*L323 - INT(0.827361+1236.853086*L323))</f>
        <v>5.05874665618035</v>
      </c>
      <c r="S323" s="36" t="n">
        <f aca="false">2*PI()*(0.259086+1342.227825*L323 - INT(0.259086+1342.227825*L323))</f>
        <v>2.17007471687779</v>
      </c>
      <c r="T323" s="36" t="n">
        <f aca="false">S323+(O323+412*SIN(2*S323)+541*SIN(Q323))/206264.8062</f>
        <v>2.07606012796747</v>
      </c>
      <c r="U323" s="36" t="n">
        <f aca="false">S323-2*R323</f>
        <v>-7.94741859548291</v>
      </c>
      <c r="V323" s="34" t="n">
        <f aca="false">-526*SIN(U323)+44*SIN(P323+U323)-31*SIN(-P323+U323)-23*SIN(Q323+U323)+11*SIN(-Q323+U323)-25*SIN(-2*P323+S323)+21*SIN(-P323+S323)</f>
        <v>514.929333498454</v>
      </c>
      <c r="W323" s="36" t="n">
        <f aca="false">2*PI()*(N323+O323/1296000-INT(N323+O323/1296000))</f>
        <v>2.82222508128082</v>
      </c>
      <c r="X323" s="35" t="n">
        <f aca="false">W323*180/PI()</f>
        <v>161.701585993357</v>
      </c>
      <c r="Y323" s="36" t="n">
        <f aca="false">(18520*SIN(T323)+V323)/206264.8062</f>
        <v>0.0810647083011668</v>
      </c>
      <c r="Z323" s="36" t="n">
        <f aca="false">Y323*180/PI()</f>
        <v>4.64466565311599</v>
      </c>
      <c r="AA323" s="36" t="n">
        <f aca="false">COS(Y323)*COS(W323)</f>
        <v>-0.946316279717573</v>
      </c>
      <c r="AB323" s="36" t="n">
        <f aca="false">COS(Y323)*SIN(W323)</f>
        <v>0.312935127488505</v>
      </c>
      <c r="AC323" s="36" t="n">
        <f aca="false">SIN(Y323)</f>
        <v>0.0809759515241794</v>
      </c>
      <c r="AD323" s="36" t="n">
        <f aca="false">COS($A$10*(23.4393-46.815*L323/3600))*AB323-SIN($A$10*(23.4393-46.815*L323/3600))*AC323</f>
        <v>0.254912272862805</v>
      </c>
      <c r="AE323" s="36" t="n">
        <f aca="false">SIN($A$10*(23.4393-46.815*L323/3600))*AB323+COS($A$10*(23.4393-46.815*L323/3600))*AC323</f>
        <v>0.198759230943903</v>
      </c>
      <c r="AF323" s="36" t="n">
        <f aca="false">SQRT(1-AE323*AE323)</f>
        <v>0.980048349886162</v>
      </c>
      <c r="AG323" s="35" t="n">
        <f aca="false">ATAN(AE323/AF323)/$A$10</f>
        <v>11.4644116139319</v>
      </c>
      <c r="AH323" s="36" t="n">
        <f aca="false">IF(24*ATAN(AD323/(AA323+AF323))/PI()&gt;0,24*ATAN(AD323/(AA323+AF323))/PI(),24*ATAN(AD323/(AA323+AF323))/PI()+24)</f>
        <v>10.994926758531</v>
      </c>
      <c r="AI323" s="63" t="n">
        <f aca="false">IF(M323-15*AH323&gt;0,M323-15*AH323,360+M323-15*AH323)</f>
        <v>267.098953699905</v>
      </c>
      <c r="AJ323" s="32" t="n">
        <f aca="false">0.950724+0.051818*COS(P323)+0.009531*COS(2*R323-P323)+0.007843*COS(2*R323)+0.002824*COS(2*P323)+0.000857*COS(2*R323+P323)+0.000533*COS(2*R323-Q323)*(1-0.002495*(J323-2415020)/36525)+0.000401*COS(2*R323-Q323-P323)*(1-0.002495*(J323-2415020)/36525)+0.00032*COS(P323-Q323)*(1-0.002495*(J323-2415020)/36525)-0.000271*COS(R323)</f>
        <v>0.921971496056611</v>
      </c>
      <c r="AK323" s="36" t="n">
        <f aca="false">ASIN(COS($A$10*$B$5)*COS($A$10*AG323)*COS($A$10*AI323)+SIN($A$10*$B$5)*SIN($A$10*AG323))/$A$10</f>
        <v>6.91375911983681</v>
      </c>
      <c r="AL323" s="32" t="n">
        <f aca="false">ASIN((0.9983271+0.0016764*COS($A$10*2*$B$5))*COS($A$10*AK323)*SIN($A$10*AJ323))/$A$10</f>
        <v>0.913469034285026</v>
      </c>
      <c r="AM323" s="32" t="n">
        <f aca="false">AK323-AL323</f>
        <v>6.00029008555178</v>
      </c>
      <c r="AN323" s="35" t="n">
        <f aca="false"> MOD(280.4664567 + 360007.6982779*L323/10 + 0.03032028*L323^2/100 + L323^3/49931000,360)</f>
        <v>237.028637278248</v>
      </c>
      <c r="AO323" s="32" t="n">
        <f aca="false"> AN323 + (1.9146 - 0.004817*L323 - 0.000014*L323^2)*SIN(Q323)+ (0.019993 - 0.000101*L323)*SIN(2*Q323)+ 0.00029*SIN(3*Q323)</f>
        <v>235.625022449899</v>
      </c>
      <c r="AP323" s="32" t="n">
        <f aca="false">ACOS(COS(W323-$A$10*AO323)*COS(Y323))/$A$10</f>
        <v>73.977654190837</v>
      </c>
      <c r="AQ323" s="34" t="n">
        <f aca="false">180 - AP323 -0.1468*(1-0.0549*SIN(Q323))*SIN($A$10*AP323)/(1-0.0167*SIN($A$10*AO323))</f>
        <v>105.877642302246</v>
      </c>
      <c r="AR323" s="64" t="n">
        <f aca="false">SIN($A$10*AI323)</f>
        <v>-0.998718433120674</v>
      </c>
      <c r="AS323" s="64" t="n">
        <f aca="false">COS($A$10*AI323)*SIN($A$10*$B$5) - TAN($A$10*AG323)*COS($A$10*$B$5)</f>
        <v>-0.169131297457752</v>
      </c>
      <c r="AT323" s="24" t="n">
        <f aca="false">IF(OR(AND(AR323*AS323&gt;0), AND(AR323&lt;0,AS323&gt;0)), MOD(ATAN2(AS323,AR323)/$A$10+360,360),  ATAN2(AS323,AR323)/$A$10)</f>
        <v>260.388247844298</v>
      </c>
      <c r="AU323" s="39" t="n">
        <f aca="false"> 385000.56 + (-20905355*COS(P323) - 3699111*COS(2*R323-P323) - 2955968*COS(2*R323) - 569925*COS(2*P323) + (1-0.002516*L323)*48888*COS(Q323) - 3149*COS(2*S323)  +246158*COS(2*R323-2*P323) -(1 - 0.002516*L323)*152138*COS(2*R323-Q323-P323) -170733*COS(2*R323+P323) -(1 - 0.002516*L323)*204586*COS(2*R323-Q323) -(1 - 0.002516*L323)*129620*COS(Q323-P323)  + 108743*COS(R323) +(1-0.002516*L323)*104755*COS(Q323+P323) +10321*COS(2*R323-2*S323) +79661*COS(P323-2*S323) -34782*COS(4*R323-P323) -23210*COS(3*P323)  -21636*COS(4*R323-2*P323) +(1 - 0.002516*L323)*24208*COS(2*R323+Q323-P323) +(1 - 0.002516*L323)*30824*COS(2*R323+Q323) -8379*COS(R323-P323) -(1 - 0.002516*L323)*16675*COS(R323+Q323)  -(1 - 0.002516*L323)*12831*COS(2*R323-Q323+P323) -10445*COS(2*R323+2*P323) -11650*COS(4*R323) +14403*COS(2*R323-3*P323) -(1-0.002516*L323)*7003*COS(Q323-2*P323)  + (1 - 0.002516*L323)*10056*COS(2*R323-Q323-2*P323) +6322*COS(R323+P323) -(1 - 0.002516*L323)*(1-0.002516*L323)*9884*COS(2*R323-2*Q323) +(1-0.002516*L323)*5751*COS(Q323+2*P323) - (1-0.002516*L323)^2*4950*COS(2*R323-2*Q323-P323)  +4130*COS(2*R323+P323-2*S323) -(1-0.002516*L323)*3958*COS(4*R323-Q323-P323) +3258*COS(3*R323-P323) +(1 - 0.002516*L323)*2616*COS(2*R323+Q323+P323) -(1 - 0.002516*L323)*1897*COS(4*R323-Q323-2*P323)  -(1-0.002516*L323)^2*2117*COS(2*Q323-P323) +(1-0.002516*L323)^2*2354*COS(2*R323+2*Q323-P323) -1423*COS(4*R323+P323) -1117*COS(4*P323) -(1-0.002516*L323)*1571*COS(4*R323-Q323)  -1739*COS(R323-2*P323) -4421*COS(2*P323-2*S323) +(1-0.002516*L323)^2*1165*COS(2*Q323+P323) +8752*COS(2*R323-P323-2*S323))/1000</f>
        <v>396300.164964285</v>
      </c>
      <c r="AV323" s="54" t="n">
        <f aca="false">ATAN(0.99664719*TAN($A$10*input!$E$2))</f>
        <v>0.871010436227447</v>
      </c>
      <c r="AW323" s="54" t="n">
        <f aca="false">COS(AV323)</f>
        <v>0.644053912545845</v>
      </c>
      <c r="AX323" s="54" t="n">
        <f aca="false">0.99664719*SIN(AV323)</f>
        <v>0.762415269897027</v>
      </c>
      <c r="AY323" s="54" t="n">
        <f aca="false">6378.14/AU323</f>
        <v>0.0160942148499353</v>
      </c>
      <c r="AZ323" s="55" t="n">
        <f aca="false">M323-15*AH323</f>
        <v>-92.9010463000954</v>
      </c>
      <c r="BA323" s="56" t="n">
        <f aca="false">COS($A$10*AG323)*SIN($A$10*AZ323)</f>
        <v>-0.97879235238081</v>
      </c>
      <c r="BB323" s="56" t="n">
        <f aca="false">COS($A$10*AG323)*COS($A$10*AZ323)-AW323*AY323</f>
        <v>-0.059966943590478</v>
      </c>
      <c r="BC323" s="56" t="n">
        <f aca="false">SIN($A$10*AG323)-AX323*AY323</f>
        <v>0.186488755785309</v>
      </c>
      <c r="BD323" s="57" t="n">
        <f aca="false">SQRT(BA323^2+BB323^2+BC323^2)</f>
        <v>0.998202664511118</v>
      </c>
      <c r="BE323" s="58" t="n">
        <f aca="false">AU323*BD323</f>
        <v>395587.880613545</v>
      </c>
    </row>
    <row r="324" customFormat="false" ht="15" hidden="false" customHeight="false" outlineLevel="0" collapsed="false">
      <c r="D324" s="41" t="n">
        <f aca="false">K324-INT(275*E324/9)+IF($A$8="common year",2,1)*INT((E324+9)/12)+30</f>
        <v>19</v>
      </c>
      <c r="E324" s="41" t="n">
        <f aca="false">IF(K324&lt;32,1,INT(9*(IF($A$8="common year",2,1)+K324)/275+0.98))</f>
        <v>11</v>
      </c>
      <c r="F324" s="42" t="n">
        <f aca="false">AM324</f>
        <v>-4.75350808049575</v>
      </c>
      <c r="G324" s="60" t="n">
        <f aca="false">F324+1.02/(TAN($A$10*(F324+10.3/(F324+5.11)))*60)</f>
        <v>-4.71557367072885</v>
      </c>
      <c r="H324" s="43" t="n">
        <f aca="false">100*(1+COS($A$10*AQ324))/2</f>
        <v>27.0322220016051</v>
      </c>
      <c r="I324" s="43" t="n">
        <f aca="false">IF(AI324&gt;180,AT324-180,AT324+180)</f>
        <v>75.9953614373653</v>
      </c>
      <c r="J324" s="61" t="n">
        <f aca="false">$J$2+K323</f>
        <v>2459902.5</v>
      </c>
      <c r="K324" s="21" t="n">
        <v>323</v>
      </c>
      <c r="L324" s="62" t="n">
        <f aca="false">(J324-2451545)/36525</f>
        <v>0.228815879534565</v>
      </c>
      <c r="M324" s="63" t="n">
        <f aca="false">MOD(280.46061837+360.98564736629*(J324-2451545)+0.000387933*L324^2-L324^3/38710000+$B$7,360)</f>
        <v>73.008502448909</v>
      </c>
      <c r="N324" s="30" t="n">
        <f aca="false">0.606433+1336.855225*L324 - INT(0.606433+1336.855225*L324)</f>
        <v>0.500137118754253</v>
      </c>
      <c r="O324" s="35" t="n">
        <f aca="false">22640*SIN(P324)-4586*SIN(P324-2*R324)+2370*SIN(2*R324)+769*SIN(2*P324)-668*SIN(Q324)-412*SIN(2*S324)-212*SIN(2*P324-2*R324)-206*SIN(P324+Q324-2*R324)+192*SIN(P324+2*R324)-165*SIN(Q324-2*R324)-125*SIN(R324)-110*SIN(P324+Q324)+148*SIN(P324-Q324)-55*SIN(2*S324-2*R324)</f>
        <v>-21111.0374959292</v>
      </c>
      <c r="P324" s="32" t="n">
        <f aca="false">2*PI()*(0.374897+1325.55241*L324 - INT(0.374897+1325.55241*L324))</f>
        <v>4.28725335234361</v>
      </c>
      <c r="Q324" s="36" t="n">
        <f aca="false">2*PI()*(0.993133+99.997361*L324 - INT(0.993133+99.997361*L324))</f>
        <v>5.49223977194181</v>
      </c>
      <c r="R324" s="36" t="n">
        <f aca="false">2*PI()*(0.827361+1236.853086*L324 - INT(0.827361+1236.853086*L324))</f>
        <v>5.27151536629937</v>
      </c>
      <c r="S324" s="36" t="n">
        <f aca="false">2*PI()*(0.259086+1342.227825*L324 - INT(0.259086+1342.227825*L324))</f>
        <v>2.40097043621844</v>
      </c>
      <c r="T324" s="36" t="n">
        <f aca="false">S324+(O324+412*SIN(2*S324)+541*SIN(Q324))/206264.8062</f>
        <v>2.29476692061407</v>
      </c>
      <c r="U324" s="36" t="n">
        <f aca="false">S324-2*R324</f>
        <v>-8.14206029638031</v>
      </c>
      <c r="V324" s="34" t="n">
        <f aca="false">-526*SIN(U324)+44*SIN(P324+U324)-31*SIN(-P324+U324)-23*SIN(Q324+U324)+11*SIN(-Q324+U324)-25*SIN(-2*P324+S324)+21*SIN(-P324+S324)</f>
        <v>507.399453034655</v>
      </c>
      <c r="W324" s="36" t="n">
        <f aca="false">2*PI()*(N324+O324/1296000-INT(N324+O324/1296000))</f>
        <v>3.04010499812743</v>
      </c>
      <c r="X324" s="35" t="n">
        <f aca="false">W324*180/PI()</f>
        <v>174.185185669329</v>
      </c>
      <c r="Y324" s="36" t="n">
        <f aca="false">(18520*SIN(T324)+V324)/206264.8062</f>
        <v>0.0697270856790523</v>
      </c>
      <c r="Z324" s="36" t="n">
        <f aca="false">Y324*180/PI()</f>
        <v>3.99506772715678</v>
      </c>
      <c r="AA324" s="36" t="n">
        <f aca="false">COS(Y324)*COS(W324)</f>
        <v>-0.992437101268822</v>
      </c>
      <c r="AB324" s="36" t="n">
        <f aca="false">COS(Y324)*SIN(W324)</f>
        <v>0.101067342353755</v>
      </c>
      <c r="AC324" s="36" t="n">
        <f aca="false">SIN(Y324)</f>
        <v>0.069670598782318</v>
      </c>
      <c r="AD324" s="36" t="n">
        <f aca="false">COS($A$10*(23.4393-46.815*L324/3600))*AB324-SIN($A$10*(23.4393-46.815*L324/3600))*AC324</f>
        <v>0.06501949228838</v>
      </c>
      <c r="AE324" s="36" t="n">
        <f aca="false">SIN($A$10*(23.4393-46.815*L324/3600))*AB324+COS($A$10*(23.4393-46.815*L324/3600))*AC324</f>
        <v>0.104120438184341</v>
      </c>
      <c r="AF324" s="36" t="n">
        <f aca="false">SQRT(1-AE324*AE324)</f>
        <v>0.99456469591088</v>
      </c>
      <c r="AG324" s="35" t="n">
        <f aca="false">ATAN(AE324/AF324)/$A$10</f>
        <v>5.97649361774005</v>
      </c>
      <c r="AH324" s="36" t="n">
        <f aca="false">IF(24*ATAN(AD324/(AA324+AF324))/PI()&gt;0,24*ATAN(AD324/(AA324+AF324))/PI(),24*ATAN(AD324/(AA324+AF324))/PI()+24)</f>
        <v>11.7501083486045</v>
      </c>
      <c r="AI324" s="63" t="n">
        <f aca="false">IF(M324-15*AH324&gt;0,M324-15*AH324,360+M324-15*AH324)</f>
        <v>256.756877219842</v>
      </c>
      <c r="AJ324" s="32" t="n">
        <f aca="false">0.950724+0.051818*COS(P324)+0.009531*COS(2*R324-P324)+0.007843*COS(2*R324)+0.002824*COS(2*P324)+0.000857*COS(2*R324+P324)+0.000533*COS(2*R324-Q324)*(1-0.002495*(J324-2415020)/36525)+0.000401*COS(2*R324-Q324-P324)*(1-0.002495*(J324-2415020)/36525)+0.00032*COS(P324-Q324)*(1-0.002495*(J324-2415020)/36525)-0.000271*COS(R324)</f>
        <v>0.933474764983273</v>
      </c>
      <c r="AK324" s="36" t="n">
        <f aca="false">ASIN(COS($A$10*$B$5)*COS($A$10*AG324)*COS($A$10*AI324)+SIN($A$10*$B$5)*SIN($A$10*AG324))/$A$10</f>
        <v>-3.82394113106996</v>
      </c>
      <c r="AL324" s="32" t="n">
        <f aca="false">ASIN((0.9983271+0.0016764*COS($A$10*2*$B$5))*COS($A$10*AK324)*SIN($A$10*AJ324))/$A$10</f>
        <v>0.92956694942579</v>
      </c>
      <c r="AM324" s="32" t="n">
        <f aca="false">AK324-AL324</f>
        <v>-4.75350808049575</v>
      </c>
      <c r="AN324" s="35" t="n">
        <f aca="false"> MOD(280.4664567 + 360007.6982779*L324/10 + 0.03032028*L324^2/100 + L324^3/49931000,360)</f>
        <v>238.014284642153</v>
      </c>
      <c r="AO324" s="32" t="n">
        <f aca="false"> AN324 + (1.9146 - 0.004817*L324 - 0.000014*L324^2)*SIN(Q324)+ (0.019993 - 0.000101*L324)*SIN(2*Q324)+ 0.00029*SIN(3*Q324)</f>
        <v>236.633582617889</v>
      </c>
      <c r="AP324" s="32" t="n">
        <f aca="false">ACOS(COS(W324-$A$10*AO324)*COS(Y324))/$A$10</f>
        <v>62.521008771663</v>
      </c>
      <c r="AQ324" s="34" t="n">
        <f aca="false">180 - AP324 -0.1468*(1-0.0549*SIN(Q324))*SIN($A$10*AP324)/(1-0.0167*SIN($A$10*AO324))</f>
        <v>117.345530780438</v>
      </c>
      <c r="AR324" s="64" t="n">
        <f aca="false">SIN($A$10*AI324)</f>
        <v>-0.973406762401164</v>
      </c>
      <c r="AS324" s="64" t="n">
        <f aca="false">COS($A$10*AI324)*SIN($A$10*$B$5) - TAN($A$10*AG324)*COS($A$10*$B$5)</f>
        <v>-0.242781269848734</v>
      </c>
      <c r="AT324" s="24" t="n">
        <f aca="false">IF(OR(AND(AR324*AS324&gt;0), AND(AR324&lt;0,AS324&gt;0)), MOD(ATAN2(AS324,AR324)/$A$10+360,360),  ATAN2(AS324,AR324)/$A$10)</f>
        <v>255.995361437365</v>
      </c>
      <c r="AU324" s="39" t="n">
        <f aca="false"> 385000.56 + (-20905355*COS(P324) - 3699111*COS(2*R324-P324) - 2955968*COS(2*R324) - 569925*COS(2*P324) + (1-0.002516*L324)*48888*COS(Q324) - 3149*COS(2*S324)  +246158*COS(2*R324-2*P324) -(1 - 0.002516*L324)*152138*COS(2*R324-Q324-P324) -170733*COS(2*R324+P324) -(1 - 0.002516*L324)*204586*COS(2*R324-Q324) -(1 - 0.002516*L324)*129620*COS(Q324-P324)  + 108743*COS(R324) +(1-0.002516*L324)*104755*COS(Q324+P324) +10321*COS(2*R324-2*S324) +79661*COS(P324-2*S324) -34782*COS(4*R324-P324) -23210*COS(3*P324)  -21636*COS(4*R324-2*P324) +(1 - 0.002516*L324)*24208*COS(2*R324+Q324-P324) +(1 - 0.002516*L324)*30824*COS(2*R324+Q324) -8379*COS(R324-P324) -(1 - 0.002516*L324)*16675*COS(R324+Q324)  -(1 - 0.002516*L324)*12831*COS(2*R324-Q324+P324) -10445*COS(2*R324+2*P324) -11650*COS(4*R324) +14403*COS(2*R324-3*P324) -(1-0.002516*L324)*7003*COS(Q324-2*P324)  + (1 - 0.002516*L324)*10056*COS(2*R324-Q324-2*P324) +6322*COS(R324+P324) -(1 - 0.002516*L324)*(1-0.002516*L324)*9884*COS(2*R324-2*Q324) +(1-0.002516*L324)*5751*COS(Q324+2*P324) - (1-0.002516*L324)^2*4950*COS(2*R324-2*Q324-P324)  +4130*COS(2*R324+P324-2*S324) -(1-0.002516*L324)*3958*COS(4*R324-Q324-P324) +3258*COS(3*R324-P324) +(1 - 0.002516*L324)*2616*COS(2*R324+Q324+P324) -(1 - 0.002516*L324)*1897*COS(4*R324-Q324-2*P324)  -(1-0.002516*L324)^2*2117*COS(2*Q324-P324) +(1-0.002516*L324)^2*2354*COS(2*R324+2*Q324-P324) -1423*COS(4*R324+P324) -1117*COS(4*P324) -(1-0.002516*L324)*1571*COS(4*R324-Q324)  -1739*COS(R324-2*P324) -4421*COS(2*P324-2*S324) +(1-0.002516*L324)^2*1165*COS(2*Q324+P324) +8752*COS(2*R324-P324-2*S324))/1000</f>
        <v>391396.260589157</v>
      </c>
      <c r="AV324" s="54" t="n">
        <f aca="false">ATAN(0.99664719*TAN($A$10*input!$E$2))</f>
        <v>0.871010436227447</v>
      </c>
      <c r="AW324" s="54" t="n">
        <f aca="false">COS(AV324)</f>
        <v>0.644053912545845</v>
      </c>
      <c r="AX324" s="54" t="n">
        <f aca="false">0.99664719*SIN(AV324)</f>
        <v>0.762415269897027</v>
      </c>
      <c r="AY324" s="54" t="n">
        <f aca="false">6378.14/AU324</f>
        <v>0.0162958634055399</v>
      </c>
      <c r="AZ324" s="55" t="n">
        <f aca="false">M324-15*AH324</f>
        <v>-103.243122780158</v>
      </c>
      <c r="BA324" s="56" t="n">
        <f aca="false">COS($A$10*AG324)*SIN($A$10*AZ324)</f>
        <v>-0.968116000645107</v>
      </c>
      <c r="BB324" s="56" t="n">
        <f aca="false">COS($A$10*AG324)*COS($A$10*AZ324)-AW324*AY324</f>
        <v>-0.238333830237552</v>
      </c>
      <c r="BC324" s="56" t="n">
        <f aca="false">SIN($A$10*AG324)-AX324*AY324</f>
        <v>0.0916962230878011</v>
      </c>
      <c r="BD324" s="57" t="n">
        <f aca="false">SQRT(BA324^2+BB324^2+BC324^2)</f>
        <v>1.00122914593481</v>
      </c>
      <c r="BE324" s="58" t="n">
        <f aca="false">AU324*BD324</f>
        <v>391877.343711759</v>
      </c>
    </row>
    <row r="325" customFormat="false" ht="15" hidden="false" customHeight="false" outlineLevel="0" collapsed="false">
      <c r="D325" s="41" t="n">
        <f aca="false">K325-INT(275*E325/9)+IF($A$8="common year",2,1)*INT((E325+9)/12)+30</f>
        <v>20</v>
      </c>
      <c r="E325" s="41" t="n">
        <f aca="false">IF(K325&lt;32,1,INT(9*(IF($A$8="common year",2,1)+K325)/275+0.98))</f>
        <v>11</v>
      </c>
      <c r="F325" s="42" t="n">
        <f aca="false">AM325</f>
        <v>-15.7944320662133</v>
      </c>
      <c r="G325" s="60" t="n">
        <f aca="false">F325+1.02/(TAN($A$10*(F325+10.3/(F325+5.11)))*60)</f>
        <v>-15.8508867054927</v>
      </c>
      <c r="H325" s="43" t="n">
        <f aca="false">100*(1+COS($A$10*AQ325))/2</f>
        <v>18.4152910508277</v>
      </c>
      <c r="I325" s="43" t="n">
        <f aca="false">IF(AI325&gt;180,AT325-180,AT325+180)</f>
        <v>71.3743217960624</v>
      </c>
      <c r="J325" s="61" t="n">
        <f aca="false">$J$2+K324</f>
        <v>2459903.5</v>
      </c>
      <c r="K325" s="21" t="n">
        <v>324</v>
      </c>
      <c r="L325" s="62" t="n">
        <f aca="false">(J325-2451545)/36525</f>
        <v>0.228843258042437</v>
      </c>
      <c r="M325" s="63" t="n">
        <f aca="false">MOD(280.46061837+360.98564736629*(J325-2451545)+0.000387933*L325^2-L325^3/38710000+$B$7,360)</f>
        <v>73.9941498204134</v>
      </c>
      <c r="N325" s="30" t="n">
        <f aca="false">0.606433+1336.855225*L325 - INT(0.606433+1336.855225*L325)</f>
        <v>0.536738220054758</v>
      </c>
      <c r="O325" s="35" t="n">
        <f aca="false">22640*SIN(P325)-4586*SIN(P325-2*R325)+2370*SIN(2*R325)+769*SIN(2*P325)-668*SIN(Q325)-412*SIN(2*S325)-212*SIN(2*P325-2*R325)-206*SIN(P325+Q325-2*R325)+192*SIN(P325+2*R325)-165*SIN(Q325-2*R325)-125*SIN(R325)-110*SIN(P325+Q325)+148*SIN(P325-Q325)-55*SIN(2*S325-2*R325)</f>
        <v>-22397.4901361762</v>
      </c>
      <c r="P325" s="32" t="n">
        <f aca="false">2*PI()*(0.374897+1325.55241*L325 - INT(0.374897+1325.55241*L325))</f>
        <v>4.51528049611943</v>
      </c>
      <c r="Q325" s="36" t="n">
        <f aca="false">2*PI()*(0.993133+99.997361*L325 - INT(0.993133+99.997361*L325))</f>
        <v>5.50944174180882</v>
      </c>
      <c r="R325" s="36" t="n">
        <f aca="false">2*PI()*(0.827361+1236.853086*L325 - INT(0.827361+1236.853086*L325))</f>
        <v>5.4842840764184</v>
      </c>
      <c r="S325" s="36" t="n">
        <f aca="false">2*PI()*(0.259086+1342.227825*L325 - INT(0.259086+1342.227825*L325))</f>
        <v>2.63186615555944</v>
      </c>
      <c r="T325" s="36" t="n">
        <f aca="false">S325+(O325+412*SIN(2*S325)+541*SIN(Q325))/206264.8062</f>
        <v>2.51974571412328</v>
      </c>
      <c r="U325" s="36" t="n">
        <f aca="false">S325-2*R325</f>
        <v>-8.33670199727735</v>
      </c>
      <c r="V325" s="34" t="n">
        <f aca="false">-526*SIN(U325)+44*SIN(P325+U325)-31*SIN(-P325+U325)-23*SIN(Q325+U325)+11*SIN(-Q325+U325)-25*SIN(-2*P325+S325)+21*SIN(-P325+S325)</f>
        <v>481.764833684665</v>
      </c>
      <c r="W325" s="36" t="n">
        <f aca="false">2*PI()*(N325+O325/1296000-INT(N325+O325/1296000))</f>
        <v>3.26383960164444</v>
      </c>
      <c r="X325" s="35" t="n">
        <f aca="false">W325*180/PI()</f>
        <v>187.004234181886</v>
      </c>
      <c r="Y325" s="36" t="n">
        <f aca="false">(18520*SIN(T325)+V325)/206264.8062</f>
        <v>0.0546402307660996</v>
      </c>
      <c r="Z325" s="36" t="n">
        <f aca="false">Y325*180/PI()</f>
        <v>3.13065461451838</v>
      </c>
      <c r="AA325" s="36" t="n">
        <f aca="false">COS(Y325)*COS(W325)</f>
        <v>-0.991055874300664</v>
      </c>
      <c r="AB325" s="36" t="n">
        <f aca="false">COS(Y325)*SIN(W325)</f>
        <v>-0.121760704632763</v>
      </c>
      <c r="AC325" s="36" t="n">
        <f aca="false">SIN(Y325)</f>
        <v>0.0546130462570874</v>
      </c>
      <c r="AD325" s="36" t="n">
        <f aca="false">COS($A$10*(23.4393-46.815*L325/3600))*AB325-SIN($A$10*(23.4393-46.815*L325/3600))*AC325</f>
        <v>-0.133436997775257</v>
      </c>
      <c r="AE325" s="36" t="n">
        <f aca="false">SIN($A$10*(23.4393-46.815*L325/3600))*AB325+COS($A$10*(23.4393-46.815*L325/3600))*AC325</f>
        <v>0.00167977345849916</v>
      </c>
      <c r="AF325" s="36" t="n">
        <f aca="false">SQRT(1-AE325*AE325)</f>
        <v>0.999998589179569</v>
      </c>
      <c r="AG325" s="35" t="n">
        <f aca="false">ATAN(AE325/AF325)/$A$10</f>
        <v>0.0962439749710889</v>
      </c>
      <c r="AH325" s="36" t="n">
        <f aca="false">IF(24*ATAN(AD325/(AA325+AF325))/PI()&gt;0,24*ATAN(AD325/(AA325+AF325))/PI(),24*ATAN(AD325/(AA325+AF325))/PI()+24)</f>
        <v>12.5112173087971</v>
      </c>
      <c r="AI325" s="63" t="n">
        <f aca="false">IF(M325-15*AH325&gt;0,M325-15*AH325,360+M325-15*AH325)</f>
        <v>246.325890188457</v>
      </c>
      <c r="AJ325" s="32" t="n">
        <f aca="false">0.950724+0.051818*COS(P325)+0.009531*COS(2*R325-P325)+0.007843*COS(2*R325)+0.002824*COS(2*P325)+0.000857*COS(2*R325+P325)+0.000533*COS(2*R325-Q325)*(1-0.002495*(J325-2415020)/36525)+0.000401*COS(2*R325-Q325-P325)*(1-0.002495*(J325-2415020)/36525)+0.00032*COS(P325-Q325)*(1-0.002495*(J325-2415020)/36525)-0.000271*COS(R325)</f>
        <v>0.946895317132355</v>
      </c>
      <c r="AK325" s="36" t="n">
        <f aca="false">ASIN(COS($A$10*$B$5)*COS($A$10*AG325)*COS($A$10*AI325)+SIN($A$10*$B$5)*SIN($A$10*AG325))/$A$10</f>
        <v>-14.8810950232423</v>
      </c>
      <c r="AL325" s="32" t="n">
        <f aca="false">ASIN((0.9983271+0.0016764*COS($A$10*2*$B$5))*COS($A$10*AK325)*SIN($A$10*AJ325))/$A$10</f>
        <v>0.913337042971059</v>
      </c>
      <c r="AM325" s="32" t="n">
        <f aca="false">AK325-AL325</f>
        <v>-15.7944320662133</v>
      </c>
      <c r="AN325" s="35" t="n">
        <f aca="false"> MOD(280.4664567 + 360007.6982779*L325/10 + 0.03032028*L325^2/100 + L325^3/49931000,360)</f>
        <v>238.999932006054</v>
      </c>
      <c r="AO325" s="32" t="n">
        <f aca="false"> AN325 + (1.9146 - 0.004817*L325 - 0.000014*L325^2)*SIN(Q325)+ (0.019993 - 0.000101*L325)*SIN(2*Q325)+ 0.00029*SIN(3*Q325)</f>
        <v>237.642569534692</v>
      </c>
      <c r="AP325" s="32" t="n">
        <f aca="false">ACOS(COS(W325-$A$10*AO325)*COS(Y325))/$A$10</f>
        <v>50.7084419559555</v>
      </c>
      <c r="AQ325" s="34" t="n">
        <f aca="false">180 - AP325 -0.1468*(1-0.0549*SIN(Q325))*SIN($A$10*AP325)/(1-0.0167*SIN($A$10*AO325))</f>
        <v>129.175226885877</v>
      </c>
      <c r="AR325" s="64" t="n">
        <f aca="false">SIN($A$10*AI325)</f>
        <v>-0.915844127603784</v>
      </c>
      <c r="AS325" s="64" t="n">
        <f aca="false">COS($A$10*AI325)*SIN($A$10*$B$5) - TAN($A$10*AG325)*COS($A$10*$B$5)</f>
        <v>-0.308672610176721</v>
      </c>
      <c r="AT325" s="24" t="n">
        <f aca="false">IF(OR(AND(AR325*AS325&gt;0), AND(AR325&lt;0,AS325&gt;0)), MOD(ATAN2(AS325,AR325)/$A$10+360,360),  ATAN2(AS325,AR325)/$A$10)</f>
        <v>251.374321796062</v>
      </c>
      <c r="AU325" s="39" t="n">
        <f aca="false"> 385000.56 + (-20905355*COS(P325) - 3699111*COS(2*R325-P325) - 2955968*COS(2*R325) - 569925*COS(2*P325) + (1-0.002516*L325)*48888*COS(Q325) - 3149*COS(2*S325)  +246158*COS(2*R325-2*P325) -(1 - 0.002516*L325)*152138*COS(2*R325-Q325-P325) -170733*COS(2*R325+P325) -(1 - 0.002516*L325)*204586*COS(2*R325-Q325) -(1 - 0.002516*L325)*129620*COS(Q325-P325)  + 108743*COS(R325) +(1-0.002516*L325)*104755*COS(Q325+P325) +10321*COS(2*R325-2*S325) +79661*COS(P325-2*S325) -34782*COS(4*R325-P325) -23210*COS(3*P325)  -21636*COS(4*R325-2*P325) +(1 - 0.002516*L325)*24208*COS(2*R325+Q325-P325) +(1 - 0.002516*L325)*30824*COS(2*R325+Q325) -8379*COS(R325-P325) -(1 - 0.002516*L325)*16675*COS(R325+Q325)  -(1 - 0.002516*L325)*12831*COS(2*R325-Q325+P325) -10445*COS(2*R325+2*P325) -11650*COS(4*R325) +14403*COS(2*R325-3*P325) -(1-0.002516*L325)*7003*COS(Q325-2*P325)  + (1 - 0.002516*L325)*10056*COS(2*R325-Q325-2*P325) +6322*COS(R325+P325) -(1 - 0.002516*L325)*(1-0.002516*L325)*9884*COS(2*R325-2*Q325) +(1-0.002516*L325)*5751*COS(Q325+2*P325) - (1-0.002516*L325)^2*4950*COS(2*R325-2*Q325-P325)  +4130*COS(2*R325+P325-2*S325) -(1-0.002516*L325)*3958*COS(4*R325-Q325-P325) +3258*COS(3*R325-P325) +(1 - 0.002516*L325)*2616*COS(2*R325+Q325+P325) -(1 - 0.002516*L325)*1897*COS(4*R325-Q325-2*P325)  -(1-0.002516*L325)^2*2117*COS(2*Q325-P325) +(1-0.002516*L325)^2*2354*COS(2*R325+2*Q325-P325) -1423*COS(4*R325+P325) -1117*COS(4*P325) -(1-0.002516*L325)*1571*COS(4*R325-Q325)  -1739*COS(R325-2*P325) -4421*COS(2*P325-2*S325) +(1-0.002516*L325)^2*1165*COS(2*Q325+P325) +8752*COS(2*R325-P325-2*S325))/1000</f>
        <v>385865.643120347</v>
      </c>
      <c r="AV325" s="54" t="n">
        <f aca="false">ATAN(0.99664719*TAN($A$10*input!$E$2))</f>
        <v>0.871010436227447</v>
      </c>
      <c r="AW325" s="54" t="n">
        <f aca="false">COS(AV325)</f>
        <v>0.644053912545845</v>
      </c>
      <c r="AX325" s="54" t="n">
        <f aca="false">0.99664719*SIN(AV325)</f>
        <v>0.762415269897027</v>
      </c>
      <c r="AY325" s="54" t="n">
        <f aca="false">6378.14/AU325</f>
        <v>0.0165294322355897</v>
      </c>
      <c r="AZ325" s="55" t="n">
        <f aca="false">M325-15*AH325</f>
        <v>-113.674109811543</v>
      </c>
      <c r="BA325" s="56" t="n">
        <f aca="false">COS($A$10*AG325)*SIN($A$10*AZ325)</f>
        <v>-0.915842835512177</v>
      </c>
      <c r="BB325" s="56" t="n">
        <f aca="false">COS($A$10*AG325)*COS($A$10*AZ325)-AW325*AY325</f>
        <v>-0.412179255075031</v>
      </c>
      <c r="BC325" s="56" t="n">
        <f aca="false">SIN($A$10*AG325)-AX325*AY325</f>
        <v>-0.0109225180806426</v>
      </c>
      <c r="BD325" s="57" t="n">
        <f aca="false">SQRT(BA325^2+BB325^2+BC325^2)</f>
        <v>1.00437997743604</v>
      </c>
      <c r="BE325" s="58" t="n">
        <f aca="false">AU325*BD325</f>
        <v>387555.725930556</v>
      </c>
    </row>
    <row r="326" customFormat="false" ht="15" hidden="false" customHeight="false" outlineLevel="0" collapsed="false">
      <c r="D326" s="41" t="n">
        <f aca="false">K326-INT(275*E326/9)+IF($A$8="common year",2,1)*INT((E326+9)/12)+30</f>
        <v>21</v>
      </c>
      <c r="E326" s="41" t="n">
        <f aca="false">IF(K326&lt;32,1,INT(9*(IF($A$8="common year",2,1)+K326)/275+0.98))</f>
        <v>11</v>
      </c>
      <c r="F326" s="42" t="n">
        <f aca="false">AM326</f>
        <v>-27.0657560602989</v>
      </c>
      <c r="G326" s="60" t="n">
        <f aca="false">F326+1.02/(TAN($A$10*(F326+10.3/(F326+5.11)))*60)</f>
        <v>-27.0983642722182</v>
      </c>
      <c r="H326" s="43" t="n">
        <f aca="false">100*(1+COS($A$10*AQ326))/2</f>
        <v>10.913085390083</v>
      </c>
      <c r="I326" s="43" t="n">
        <f aca="false">IF(AI326&gt;180,AT326-180,AT326+180)</f>
        <v>66.0429703017117</v>
      </c>
      <c r="J326" s="61" t="n">
        <f aca="false">$J$2+K325</f>
        <v>2459904.5</v>
      </c>
      <c r="K326" s="21" t="n">
        <v>325</v>
      </c>
      <c r="L326" s="62" t="n">
        <f aca="false">(J326-2451545)/36525</f>
        <v>0.228870636550308</v>
      </c>
      <c r="M326" s="63" t="n">
        <f aca="false">MOD(280.46061837+360.98564736629*(J326-2451545)+0.000387933*L326^2-L326^3/38710000+$B$7,360)</f>
        <v>74.9797971914522</v>
      </c>
      <c r="N326" s="30" t="n">
        <f aca="false">0.606433+1336.855225*L326 - INT(0.606433+1336.855225*L326)</f>
        <v>0.573339321355206</v>
      </c>
      <c r="O326" s="35" t="n">
        <f aca="false">22640*SIN(P326)-4586*SIN(P326-2*R326)+2370*SIN(2*R326)+769*SIN(2*P326)-668*SIN(Q326)-412*SIN(2*S326)-212*SIN(2*P326-2*R326)-206*SIN(P326+Q326-2*R326)+192*SIN(P326+2*R326)-165*SIN(Q326-2*R326)-125*SIN(R326)-110*SIN(P326+Q326)+148*SIN(P326-Q326)-55*SIN(2*S326-2*R326)</f>
        <v>-22281.6679813483</v>
      </c>
      <c r="P326" s="32" t="n">
        <f aca="false">2*PI()*(0.374897+1325.55241*L326 - INT(0.374897+1325.55241*L326))</f>
        <v>4.74330763989489</v>
      </c>
      <c r="Q326" s="36" t="n">
        <f aca="false">2*PI()*(0.993133+99.997361*L326 - INT(0.993133+99.997361*L326))</f>
        <v>5.5266437116758</v>
      </c>
      <c r="R326" s="36" t="n">
        <f aca="false">2*PI()*(0.827361+1236.853086*L326 - INT(0.827361+1236.853086*L326))</f>
        <v>5.69705278653742</v>
      </c>
      <c r="S326" s="36" t="n">
        <f aca="false">2*PI()*(0.259086+1342.227825*L326 - INT(0.259086+1342.227825*L326))</f>
        <v>2.86276187490045</v>
      </c>
      <c r="T326" s="36" t="n">
        <f aca="false">S326+(O326+412*SIN(2*S326)+541*SIN(Q326))/206264.8062</f>
        <v>2.75187990550253</v>
      </c>
      <c r="U326" s="36" t="n">
        <f aca="false">S326-2*R326</f>
        <v>-8.5313436981744</v>
      </c>
      <c r="V326" s="34" t="n">
        <f aca="false">-526*SIN(U326)+44*SIN(P326+U326)-31*SIN(-P326+U326)-23*SIN(Q326+U326)+11*SIN(-Q326+U326)-25*SIN(-2*P326+S326)+21*SIN(-P326+S326)</f>
        <v>437.069645792391</v>
      </c>
      <c r="W326" s="36" t="n">
        <f aca="false">2*PI()*(N326+O326/1296000-INT(N326+O326/1296000))</f>
        <v>3.49437262521437</v>
      </c>
      <c r="X326" s="35" t="n">
        <f aca="false">W326*180/PI()</f>
        <v>200.212803470833</v>
      </c>
      <c r="Y326" s="36" t="n">
        <f aca="false">(18520*SIN(T326)+V326)/206264.8062</f>
        <v>0.0362312820708617</v>
      </c>
      <c r="Z326" s="36" t="n">
        <f aca="false">Y326*180/PI()</f>
        <v>2.07589954900839</v>
      </c>
      <c r="AA326" s="36" t="n">
        <f aca="false">COS(Y326)*COS(W326)</f>
        <v>-0.937799973470972</v>
      </c>
      <c r="AB326" s="36" t="n">
        <f aca="false">COS(Y326)*SIN(W326)</f>
        <v>-0.345281158269112</v>
      </c>
      <c r="AC326" s="36" t="n">
        <f aca="false">SIN(Y326)</f>
        <v>0.0362233557554367</v>
      </c>
      <c r="AD326" s="36" t="n">
        <f aca="false">COS($A$10*(23.4393-46.815*L326/3600))*AB326-SIN($A$10*(23.4393-46.815*L326/3600))*AC326</f>
        <v>-0.331203484023776</v>
      </c>
      <c r="AE326" s="36" t="n">
        <f aca="false">SIN($A$10*(23.4393-46.815*L326/3600))*AB326+COS($A$10*(23.4393-46.815*L326/3600))*AC326</f>
        <v>-0.104093524910807</v>
      </c>
      <c r="AF326" s="36" t="n">
        <f aca="false">SQRT(1-AE326*AE326)</f>
        <v>0.994567513078747</v>
      </c>
      <c r="AG326" s="35" t="n">
        <f aca="false">ATAN(AE326/AF326)/$A$10</f>
        <v>-5.97494317581434</v>
      </c>
      <c r="AH326" s="36" t="n">
        <f aca="false">IF(24*ATAN(AD326/(AA326+AF326))/PI()&gt;0,24*ATAN(AD326/(AA326+AF326))/PI(),24*ATAN(AD326/(AA326+AF326))/PI()+24)</f>
        <v>13.2967819075282</v>
      </c>
      <c r="AI326" s="63" t="n">
        <f aca="false">IF(M326-15*AH326&gt;0,M326-15*AH326,360+M326-15*AH326)</f>
        <v>235.528068578529</v>
      </c>
      <c r="AJ326" s="32" t="n">
        <f aca="false">0.950724+0.051818*COS(P326)+0.009531*COS(2*R326-P326)+0.007843*COS(2*R326)+0.002824*COS(2*P326)+0.000857*COS(2*R326+P326)+0.000533*COS(2*R326-Q326)*(1-0.002495*(J326-2415020)/36525)+0.000401*COS(2*R326-Q326-P326)*(1-0.002495*(J326-2415020)/36525)+0.00032*COS(P326-Q326)*(1-0.002495*(J326-2415020)/36525)-0.000271*COS(R326)</f>
        <v>0.961324976947614</v>
      </c>
      <c r="AK326" s="36" t="n">
        <f aca="false">ASIN(COS($A$10*$B$5)*COS($A$10*AG326)*COS($A$10*AI326)+SIN($A$10*$B$5)*SIN($A$10*AG326))/$A$10</f>
        <v>-26.204937756489</v>
      </c>
      <c r="AL326" s="32" t="n">
        <f aca="false">ASIN((0.9983271+0.0016764*COS($A$10*2*$B$5))*COS($A$10*AK326)*SIN($A$10*AJ326))/$A$10</f>
        <v>0.860818303809921</v>
      </c>
      <c r="AM326" s="32" t="n">
        <f aca="false">AK326-AL326</f>
        <v>-27.0657560602989</v>
      </c>
      <c r="AN326" s="35" t="n">
        <f aca="false"> MOD(280.4664567 + 360007.6982779*L326/10 + 0.03032028*L326^2/100 + L326^3/49931000,360)</f>
        <v>239.985579369959</v>
      </c>
      <c r="AO326" s="32" t="n">
        <f aca="false"> AN326 + (1.9146 - 0.004817*L326 - 0.000014*L326^2)*SIN(Q326)+ (0.019993 - 0.000101*L326)*SIN(2*Q326)+ 0.00029*SIN(3*Q326)</f>
        <v>238.651976315153</v>
      </c>
      <c r="AP326" s="32" t="n">
        <f aca="false">ACOS(COS(W326-$A$10*AO326)*COS(Y326))/$A$10</f>
        <v>38.486523713479</v>
      </c>
      <c r="AQ326" s="34" t="n">
        <f aca="false">180 - AP326 -0.1468*(1-0.0549*SIN(Q326))*SIN($A$10*AP326)/(1-0.0167*SIN($A$10*AO326))</f>
        <v>141.420008483554</v>
      </c>
      <c r="AR326" s="64" t="n">
        <f aca="false">SIN($A$10*AI326)</f>
        <v>-0.824403565967605</v>
      </c>
      <c r="AS326" s="64" t="n">
        <f aca="false">COS($A$10*AI326)*SIN($A$10*$B$5) - TAN($A$10*AG326)*COS($A$10*$B$5)</f>
        <v>-0.36630752148391</v>
      </c>
      <c r="AT326" s="24" t="n">
        <f aca="false">IF(OR(AND(AR326*AS326&gt;0), AND(AR326&lt;0,AS326&gt;0)), MOD(ATAN2(AS326,AR326)/$A$10+360,360),  ATAN2(AS326,AR326)/$A$10)</f>
        <v>246.042970301712</v>
      </c>
      <c r="AU326" s="39" t="n">
        <f aca="false"> 385000.56 + (-20905355*COS(P326) - 3699111*COS(2*R326-P326) - 2955968*COS(2*R326) - 569925*COS(2*P326) + (1-0.002516*L326)*48888*COS(Q326) - 3149*COS(2*S326)  +246158*COS(2*R326-2*P326) -(1 - 0.002516*L326)*152138*COS(2*R326-Q326-P326) -170733*COS(2*R326+P326) -(1 - 0.002516*L326)*204586*COS(2*R326-Q326) -(1 - 0.002516*L326)*129620*COS(Q326-P326)  + 108743*COS(R326) +(1-0.002516*L326)*104755*COS(Q326+P326) +10321*COS(2*R326-2*S326) +79661*COS(P326-2*S326) -34782*COS(4*R326-P326) -23210*COS(3*P326)  -21636*COS(4*R326-2*P326) +(1 - 0.002516*L326)*24208*COS(2*R326+Q326-P326) +(1 - 0.002516*L326)*30824*COS(2*R326+Q326) -8379*COS(R326-P326) -(1 - 0.002516*L326)*16675*COS(R326+Q326)  -(1 - 0.002516*L326)*12831*COS(2*R326-Q326+P326) -10445*COS(2*R326+2*P326) -11650*COS(4*R326) +14403*COS(2*R326-3*P326) -(1-0.002516*L326)*7003*COS(Q326-2*P326)  + (1 - 0.002516*L326)*10056*COS(2*R326-Q326-2*P326) +6322*COS(R326+P326) -(1 - 0.002516*L326)*(1-0.002516*L326)*9884*COS(2*R326-2*Q326) +(1-0.002516*L326)*5751*COS(Q326+2*P326) - (1-0.002516*L326)^2*4950*COS(2*R326-2*Q326-P326)  +4130*COS(2*R326+P326-2*S326) -(1-0.002516*L326)*3958*COS(4*R326-Q326-P326) +3258*COS(3*R326-P326) +(1 - 0.002516*L326)*2616*COS(2*R326+Q326+P326) -(1 - 0.002516*L326)*1897*COS(4*R326-Q326-2*P326)  -(1-0.002516*L326)^2*2117*COS(2*Q326-P326) +(1-0.002516*L326)^2*2354*COS(2*R326+2*Q326-P326) -1423*COS(4*R326+P326) -1117*COS(4*P326) -(1-0.002516*L326)*1571*COS(4*R326-Q326)  -1739*COS(R326-2*P326) -4421*COS(2*P326-2*S326) +(1-0.002516*L326)^2*1165*COS(2*Q326+P326) +8752*COS(2*R326-P326-2*S326))/1000</f>
        <v>380111.457603336</v>
      </c>
      <c r="AV326" s="54" t="n">
        <f aca="false">ATAN(0.99664719*TAN($A$10*input!$E$2))</f>
        <v>0.871010436227447</v>
      </c>
      <c r="AW326" s="54" t="n">
        <f aca="false">COS(AV326)</f>
        <v>0.644053912545845</v>
      </c>
      <c r="AX326" s="54" t="n">
        <f aca="false">0.99664719*SIN(AV326)</f>
        <v>0.762415269897027</v>
      </c>
      <c r="AY326" s="54" t="n">
        <f aca="false">6378.14/AU326</f>
        <v>0.0167796573147655</v>
      </c>
      <c r="AZ326" s="55" t="n">
        <f aca="false">M326-15*AH326</f>
        <v>-124.471931421471</v>
      </c>
      <c r="BA326" s="56" t="n">
        <f aca="false">COS($A$10*AG326)*SIN($A$10*AZ326)</f>
        <v>-0.819925004377651</v>
      </c>
      <c r="BB326" s="56" t="n">
        <f aca="false">COS($A$10*AG326)*COS($A$10*AZ326)-AW326*AY326</f>
        <v>-0.573734641628276</v>
      </c>
      <c r="BC326" s="56" t="n">
        <f aca="false">SIN($A$10*AG326)-AX326*AY326</f>
        <v>-0.116886591871223</v>
      </c>
      <c r="BD326" s="57" t="n">
        <f aca="false">SQRT(BA326^2+BB326^2+BC326^2)</f>
        <v>1.00752713470521</v>
      </c>
      <c r="BE326" s="58" t="n">
        <f aca="false">AU326*BD326</f>
        <v>382972.607747709</v>
      </c>
    </row>
    <row r="327" customFormat="false" ht="15" hidden="false" customHeight="false" outlineLevel="0" collapsed="false">
      <c r="D327" s="41" t="n">
        <f aca="false">K327-INT(275*E327/9)+IF($A$8="common year",2,1)*INT((E327+9)/12)+30</f>
        <v>22</v>
      </c>
      <c r="E327" s="41" t="n">
        <f aca="false">IF(K327&lt;32,1,INT(9*(IF($A$8="common year",2,1)+K327)/275+0.98))</f>
        <v>11</v>
      </c>
      <c r="F327" s="42" t="n">
        <f aca="false">AM327</f>
        <v>-38.4127638768353</v>
      </c>
      <c r="G327" s="60" t="n">
        <f aca="false">F327+1.02/(TAN($A$10*(F327+10.3/(F327+5.11)))*60)</f>
        <v>-38.4339666199103</v>
      </c>
      <c r="H327" s="43" t="n">
        <f aca="false">100*(1+COS($A$10*AQ327))/2</f>
        <v>5.02371668319109</v>
      </c>
      <c r="I327" s="43" t="n">
        <f aca="false">IF(AI327&gt;180,AT327-180,AT327+180)</f>
        <v>59.2320850438795</v>
      </c>
      <c r="J327" s="61" t="n">
        <f aca="false">$J$2+K326</f>
        <v>2459905.5</v>
      </c>
      <c r="K327" s="21" t="n">
        <v>326</v>
      </c>
      <c r="L327" s="62" t="n">
        <f aca="false">(J327-2451545)/36525</f>
        <v>0.228898015058179</v>
      </c>
      <c r="M327" s="63" t="n">
        <f aca="false">MOD(280.46061837+360.98564736629*(J327-2451545)+0.000387933*L327^2-L327^3/38710000+$B$7,360)</f>
        <v>75.9654445629567</v>
      </c>
      <c r="N327" s="30" t="n">
        <f aca="false">0.606433+1336.855225*L327 - INT(0.606433+1336.855225*L327)</f>
        <v>0.609940422655711</v>
      </c>
      <c r="O327" s="35" t="n">
        <f aca="false">22640*SIN(P327)-4586*SIN(P327-2*R327)+2370*SIN(2*R327)+769*SIN(2*P327)-668*SIN(Q327)-412*SIN(2*S327)-212*SIN(2*P327-2*R327)-206*SIN(P327+Q327-2*R327)+192*SIN(P327+2*R327)-165*SIN(Q327-2*R327)-125*SIN(R327)-110*SIN(P327+Q327)+148*SIN(P327-Q327)-55*SIN(2*S327-2*R327)</f>
        <v>-20670.5641375035</v>
      </c>
      <c r="P327" s="32" t="n">
        <f aca="false">2*PI()*(0.374897+1325.55241*L327 - INT(0.374897+1325.55241*L327))</f>
        <v>4.97133478367071</v>
      </c>
      <c r="Q327" s="36" t="n">
        <f aca="false">2*PI()*(0.993133+99.997361*L327 - INT(0.993133+99.997361*L327))</f>
        <v>5.54384568154281</v>
      </c>
      <c r="R327" s="36" t="n">
        <f aca="false">2*PI()*(0.827361+1236.853086*L327 - INT(0.827361+1236.853086*L327))</f>
        <v>5.90982149665645</v>
      </c>
      <c r="S327" s="36" t="n">
        <f aca="false">2*PI()*(0.259086+1342.227825*L327 - INT(0.259086+1342.227825*L327))</f>
        <v>3.09365759424145</v>
      </c>
      <c r="T327" s="36" t="n">
        <f aca="false">S327+(O327+412*SIN(2*S327)+541*SIN(Q327))/206264.8062</f>
        <v>2.99148539923467</v>
      </c>
      <c r="U327" s="36" t="n">
        <f aca="false">S327-2*R327</f>
        <v>-8.72598539907144</v>
      </c>
      <c r="V327" s="34" t="n">
        <f aca="false">-526*SIN(U327)+44*SIN(P327+U327)-31*SIN(-P327+U327)-23*SIN(Q327+U327)+11*SIN(-Q327+U327)-25*SIN(-2*P327+S327)+21*SIN(-P327+S327)</f>
        <v>373.286440487574</v>
      </c>
      <c r="W327" s="36" t="n">
        <f aca="false">2*PI()*(N327+O327/1296000-INT(N327+O327/1296000))</f>
        <v>3.73215497898413</v>
      </c>
      <c r="X327" s="35" t="n">
        <f aca="false">W327*180/PI()</f>
        <v>213.836728784527</v>
      </c>
      <c r="Y327" s="36" t="n">
        <f aca="false">(18520*SIN(T327)+V327)/206264.8062</f>
        <v>0.015236941007809</v>
      </c>
      <c r="Z327" s="36" t="n">
        <f aca="false">Y327*180/PI()</f>
        <v>0.873012412437264</v>
      </c>
      <c r="AA327" s="36" t="n">
        <f aca="false">COS(Y327)*COS(W327)</f>
        <v>-0.830531272596767</v>
      </c>
      <c r="AB327" s="36" t="n">
        <f aca="false">COS(Y327)*SIN(W327)</f>
        <v>-0.556763557386551</v>
      </c>
      <c r="AC327" s="36" t="n">
        <f aca="false">SIN(Y327)</f>
        <v>0.0152363514355147</v>
      </c>
      <c r="AD327" s="36" t="n">
        <f aca="false">COS($A$10*(23.4393-46.815*L327/3600))*AB327-SIN($A$10*(23.4393-46.815*L327/3600))*AC327</f>
        <v>-0.516891995820127</v>
      </c>
      <c r="AE327" s="36" t="n">
        <f aca="false">SIN($A$10*(23.4393-46.815*L327/3600))*AB327+COS($A$10*(23.4393-46.815*L327/3600))*AC327</f>
        <v>-0.207461972168106</v>
      </c>
      <c r="AF327" s="36" t="n">
        <f aca="false">SQRT(1-AE327*AE327)</f>
        <v>0.978243083340803</v>
      </c>
      <c r="AG327" s="35" t="n">
        <f aca="false">ATAN(AE327/AF327)/$A$10</f>
        <v>-11.9736586558611</v>
      </c>
      <c r="AH327" s="36" t="n">
        <f aca="false">IF(24*ATAN(AD327/(AA327+AF327))/PI()&gt;0,24*ATAN(AD327/(AA327+AF327))/PI(),24*ATAN(AD327/(AA327+AF327))/PI()+24)</f>
        <v>14.1264406149884</v>
      </c>
      <c r="AI327" s="63" t="n">
        <f aca="false">IF(M327-15*AH327&gt;0,M327-15*AH327,360+M327-15*AH327)</f>
        <v>224.06883533813</v>
      </c>
      <c r="AJ327" s="32" t="n">
        <f aca="false">0.950724+0.051818*COS(P327)+0.009531*COS(2*R327-P327)+0.007843*COS(2*R327)+0.002824*COS(2*P327)+0.000857*COS(2*R327+P327)+0.000533*COS(2*R327-Q327)*(1-0.002495*(J327-2415020)/36525)+0.000401*COS(2*R327-Q327-P327)*(1-0.002495*(J327-2415020)/36525)+0.00032*COS(P327-Q327)*(1-0.002495*(J327-2415020)/36525)-0.000271*COS(R327)</f>
        <v>0.97559491489335</v>
      </c>
      <c r="AK327" s="36" t="n">
        <f aca="false">ASIN(COS($A$10*$B$5)*COS($A$10*AG327)*COS($A$10*AI327)+SIN($A$10*$B$5)*SIN($A$10*AG327))/$A$10</f>
        <v>-37.6417755675535</v>
      </c>
      <c r="AL327" s="32" t="n">
        <f aca="false">ASIN((0.9983271+0.0016764*COS($A$10*2*$B$5))*COS($A$10*AK327)*SIN($A$10*AJ327))/$A$10</f>
        <v>0.770988309281815</v>
      </c>
      <c r="AM327" s="32" t="n">
        <f aca="false">AK327-AL327</f>
        <v>-38.4127638768353</v>
      </c>
      <c r="AN327" s="35" t="n">
        <f aca="false"> MOD(280.4664567 + 360007.6982779*L327/10 + 0.03032028*L327^2/100 + L327^3/49931000,360)</f>
        <v>240.971226733862</v>
      </c>
      <c r="AO327" s="32" t="n">
        <f aca="false"> AN327 + (1.9146 - 0.004817*L327 - 0.000014*L327^2)*SIN(Q327)+ (0.019993 - 0.000101*L327)*SIN(2*Q327)+ 0.00029*SIN(3*Q327)</f>
        <v>239.661795927559</v>
      </c>
      <c r="AP327" s="32" t="n">
        <f aca="false">ACOS(COS(W327-$A$10*AO327)*COS(Y327))/$A$10</f>
        <v>25.8388064202176</v>
      </c>
      <c r="AQ327" s="34" t="n">
        <f aca="false">180 - AP327 -0.1468*(1-0.0549*SIN(Q327))*SIN($A$10*AP327)/(1-0.0167*SIN($A$10*AO327))</f>
        <v>154.095788070643</v>
      </c>
      <c r="AR327" s="64" t="n">
        <f aca="false">SIN($A$10*AI327)</f>
        <v>-0.695522086130944</v>
      </c>
      <c r="AS327" s="64" t="n">
        <f aca="false">COS($A$10*AI327)*SIN($A$10*$B$5) - TAN($A$10*AG327)*COS($A$10*$B$5)</f>
        <v>-0.414086659887263</v>
      </c>
      <c r="AT327" s="24" t="n">
        <f aca="false">IF(OR(AND(AR327*AS327&gt;0), AND(AR327&lt;0,AS327&gt;0)), MOD(ATAN2(AS327,AR327)/$A$10+360,360),  ATAN2(AS327,AR327)/$A$10)</f>
        <v>239.23208504388</v>
      </c>
      <c r="AU327" s="39" t="n">
        <f aca="false"> 385000.56 + (-20905355*COS(P327) - 3699111*COS(2*R327-P327) - 2955968*COS(2*R327) - 569925*COS(2*P327) + (1-0.002516*L327)*48888*COS(Q327) - 3149*COS(2*S327)  +246158*COS(2*R327-2*P327) -(1 - 0.002516*L327)*152138*COS(2*R327-Q327-P327) -170733*COS(2*R327+P327) -(1 - 0.002516*L327)*204586*COS(2*R327-Q327) -(1 - 0.002516*L327)*129620*COS(Q327-P327)  + 108743*COS(R327) +(1-0.002516*L327)*104755*COS(Q327+P327) +10321*COS(2*R327-2*S327) +79661*COS(P327-2*S327) -34782*COS(4*R327-P327) -23210*COS(3*P327)  -21636*COS(4*R327-2*P327) +(1 - 0.002516*L327)*24208*COS(2*R327+Q327-P327) +(1 - 0.002516*L327)*30824*COS(2*R327+Q327) -8379*COS(R327-P327) -(1 - 0.002516*L327)*16675*COS(R327+Q327)  -(1 - 0.002516*L327)*12831*COS(2*R327-Q327+P327) -10445*COS(2*R327+2*P327) -11650*COS(4*R327) +14403*COS(2*R327-3*P327) -(1-0.002516*L327)*7003*COS(Q327-2*P327)  + (1 - 0.002516*L327)*10056*COS(2*R327-Q327-2*P327) +6322*COS(R327+P327) -(1 - 0.002516*L327)*(1-0.002516*L327)*9884*COS(2*R327-2*Q327) +(1-0.002516*L327)*5751*COS(Q327+2*P327) - (1-0.002516*L327)^2*4950*COS(2*R327-2*Q327-P327)  +4130*COS(2*R327+P327-2*S327) -(1-0.002516*L327)*3958*COS(4*R327-Q327-P327) +3258*COS(3*R327-P327) +(1 - 0.002516*L327)*2616*COS(2*R327+Q327+P327) -(1 - 0.002516*L327)*1897*COS(4*R327-Q327-2*P327)  -(1-0.002516*L327)^2*2117*COS(2*Q327-P327) +(1-0.002516*L327)^2*2354*COS(2*R327+2*Q327-P327) -1423*COS(4*R327+P327) -1117*COS(4*P327) -(1-0.002516*L327)*1571*COS(4*R327-Q327)  -1739*COS(R327-2*P327) -4421*COS(2*P327-2*S327) +(1-0.002516*L327)^2*1165*COS(2*Q327+P327) +8752*COS(2*R327-P327-2*S327))/1000</f>
        <v>374589.997451524</v>
      </c>
      <c r="AV327" s="54" t="n">
        <f aca="false">ATAN(0.99664719*TAN($A$10*input!$E$2))</f>
        <v>0.871010436227447</v>
      </c>
      <c r="AW327" s="54" t="n">
        <f aca="false">COS(AV327)</f>
        <v>0.644053912545845</v>
      </c>
      <c r="AX327" s="54" t="n">
        <f aca="false">0.99664719*SIN(AV327)</f>
        <v>0.762415269897027</v>
      </c>
      <c r="AY327" s="54" t="n">
        <f aca="false">6378.14/AU327</f>
        <v>0.0170269896243703</v>
      </c>
      <c r="AZ327" s="55" t="n">
        <f aca="false">M327-15*AH327</f>
        <v>-135.93116466187</v>
      </c>
      <c r="BA327" s="56" t="n">
        <f aca="false">COS($A$10*AG327)*SIN($A$10*AZ327)</f>
        <v>-0.680389670068361</v>
      </c>
      <c r="BB327" s="56" t="n">
        <f aca="false">COS($A$10*AG327)*COS($A$10*AZ327)-AW327*AY327</f>
        <v>-0.71383856859887</v>
      </c>
      <c r="BC327" s="56" t="n">
        <f aca="false">SIN($A$10*AG327)-AX327*AY327</f>
        <v>-0.220443609058104</v>
      </c>
      <c r="BD327" s="57" t="n">
        <f aca="false">SQRT(BA327^2+BB327^2+BC327^2)</f>
        <v>1.01049046998454</v>
      </c>
      <c r="BE327" s="58" t="n">
        <f aca="false">AU327*BD327</f>
        <v>378519.622576298</v>
      </c>
    </row>
    <row r="328" customFormat="false" ht="15" hidden="false" customHeight="false" outlineLevel="0" collapsed="false">
      <c r="D328" s="41" t="n">
        <f aca="false">K328-INT(275*E328/9)+IF($A$8="common year",2,1)*INT((E328+9)/12)+30</f>
        <v>23</v>
      </c>
      <c r="E328" s="41" t="n">
        <f aca="false">IF(K328&lt;32,1,INT(9*(IF($A$8="common year",2,1)+K328)/275+0.98))</f>
        <v>11</v>
      </c>
      <c r="F328" s="42" t="n">
        <f aca="false">AM328</f>
        <v>-49.4672896713755</v>
      </c>
      <c r="G328" s="60" t="n">
        <f aca="false">F328+1.02/(TAN($A$10*(F328+10.3/(F328+5.11)))*60)</f>
        <v>-49.4817069774048</v>
      </c>
      <c r="H328" s="43" t="n">
        <f aca="false">100*(1+COS($A$10*AQ328))/2</f>
        <v>1.25174262464146</v>
      </c>
      <c r="I328" s="43" t="n">
        <f aca="false">IF(AI328&gt;180,AT328-180,AT328+180)</f>
        <v>49.4851841994162</v>
      </c>
      <c r="J328" s="61" t="n">
        <f aca="false">$J$2+K327</f>
        <v>2459906.5</v>
      </c>
      <c r="K328" s="21" t="n">
        <v>327</v>
      </c>
      <c r="L328" s="62" t="n">
        <f aca="false">(J328-2451545)/36525</f>
        <v>0.228925393566051</v>
      </c>
      <c r="M328" s="63" t="n">
        <f aca="false">MOD(280.46061837+360.98564736629*(J328-2451545)+0.000387933*L328^2-L328^3/38710000+$B$7,360)</f>
        <v>76.9510919335298</v>
      </c>
      <c r="N328" s="30" t="n">
        <f aca="false">0.606433+1336.855225*L328 - INT(0.606433+1336.855225*L328)</f>
        <v>0.646541523956159</v>
      </c>
      <c r="O328" s="35" t="n">
        <f aca="false">22640*SIN(P328)-4586*SIN(P328-2*R328)+2370*SIN(2*R328)+769*SIN(2*P328)-668*SIN(Q328)-412*SIN(2*S328)-212*SIN(2*P328-2*R328)-206*SIN(P328+Q328-2*R328)+192*SIN(P328+2*R328)-165*SIN(Q328-2*R328)-125*SIN(R328)-110*SIN(P328+Q328)+148*SIN(P328-Q328)-55*SIN(2*S328-2*R328)</f>
        <v>-17606.1968062178</v>
      </c>
      <c r="P328" s="32" t="n">
        <f aca="false">2*PI()*(0.374897+1325.55241*L328 - INT(0.374897+1325.55241*L328))</f>
        <v>5.19936192744653</v>
      </c>
      <c r="Q328" s="36" t="n">
        <f aca="false">2*PI()*(0.993133+99.997361*L328 - INT(0.993133+99.997361*L328))</f>
        <v>5.5610476514098</v>
      </c>
      <c r="R328" s="36" t="n">
        <f aca="false">2*PI()*(0.827361+1236.853086*L328 - INT(0.827361+1236.853086*L328))</f>
        <v>6.12259020677511</v>
      </c>
      <c r="S328" s="36" t="n">
        <f aca="false">2*PI()*(0.259086+1342.227825*L328 - INT(0.259086+1342.227825*L328))</f>
        <v>3.32455331358245</v>
      </c>
      <c r="T328" s="36" t="n">
        <f aca="false">S328+(O328+412*SIN(2*S328)+541*SIN(Q328))/206264.8062</f>
        <v>3.23817709049698</v>
      </c>
      <c r="U328" s="36" t="n">
        <f aca="false">S328-2*R328</f>
        <v>-8.92062709996777</v>
      </c>
      <c r="V328" s="34" t="n">
        <f aca="false">-526*SIN(U328)+44*SIN(P328+U328)-31*SIN(-P328+U328)-23*SIN(Q328+U328)+11*SIN(-Q328+U328)-25*SIN(-2*P328+S328)+21*SIN(-P328+S328)</f>
        <v>291.599564556068</v>
      </c>
      <c r="W328" s="36" t="n">
        <f aca="false">2*PI()*(N328+O328/1296000-INT(N328+O328/1296000))</f>
        <v>3.97698295296323</v>
      </c>
      <c r="X328" s="35" t="n">
        <f aca="false">W328*180/PI()</f>
        <v>227.864338400268</v>
      </c>
      <c r="Y328" s="36" t="n">
        <f aca="false">(18520*SIN(T328)+V328)/206264.8062</f>
        <v>-0.00724488324527589</v>
      </c>
      <c r="Z328" s="36" t="n">
        <f aca="false">Y328*180/PI()</f>
        <v>-0.415101233019352</v>
      </c>
      <c r="AA328" s="36" t="n">
        <f aca="false">COS(Y328)*COS(W328)</f>
        <v>-0.670870697154259</v>
      </c>
      <c r="AB328" s="36" t="n">
        <f aca="false">COS(Y328)*SIN(W328)</f>
        <v>-0.741538953990185</v>
      </c>
      <c r="AC328" s="36" t="n">
        <f aca="false">SIN(Y328)</f>
        <v>-0.00724481986680121</v>
      </c>
      <c r="AD328" s="36" t="n">
        <f aca="false">COS($A$10*(23.4393-46.815*L328/3600))*AB328-SIN($A$10*(23.4393-46.815*L328/3600))*AC328</f>
        <v>-0.677482488393143</v>
      </c>
      <c r="AE328" s="36" t="n">
        <f aca="false">SIN($A$10*(23.4393-46.815*L328/3600))*AB328+COS($A$10*(23.4393-46.815*L328/3600))*AC328</f>
        <v>-0.301579153159489</v>
      </c>
      <c r="AF328" s="36" t="n">
        <f aca="false">SQRT(1-AE328*AE328)</f>
        <v>0.953441143636882</v>
      </c>
      <c r="AG328" s="35" t="n">
        <f aca="false">ATAN(AE328/AF328)/$A$10</f>
        <v>-17.5524754346435</v>
      </c>
      <c r="AH328" s="36" t="n">
        <f aca="false">IF(24*ATAN(AD328/(AA328+AF328))/PI()&gt;0,24*ATAN(AD328/(AA328+AF328))/PI(),24*ATAN(AD328/(AA328+AF328))/PI()+24)</f>
        <v>15.0187302407493</v>
      </c>
      <c r="AI328" s="63" t="n">
        <f aca="false">IF(M328-15*AH328&gt;0,M328-15*AH328,360+M328-15*AH328)</f>
        <v>211.67013832229</v>
      </c>
      <c r="AJ328" s="32" t="n">
        <f aca="false">0.950724+0.051818*COS(P328)+0.009531*COS(2*R328-P328)+0.007843*COS(2*R328)+0.002824*COS(2*P328)+0.000857*COS(2*R328+P328)+0.000533*COS(2*R328-Q328)*(1-0.002495*(J328-2415020)/36525)+0.000401*COS(2*R328-Q328-P328)*(1-0.002495*(J328-2415020)/36525)+0.00032*COS(P328-Q328)*(1-0.002495*(J328-2415020)/36525)-0.000271*COS(R328)</f>
        <v>0.988414054079768</v>
      </c>
      <c r="AK328" s="36" t="n">
        <f aca="false">ASIN(COS($A$10*$B$5)*COS($A$10*AG328)*COS($A$10*AI328)+SIN($A$10*$B$5)*SIN($A$10*AG328))/$A$10</f>
        <v>-48.8177588242318</v>
      </c>
      <c r="AL328" s="32" t="n">
        <f aca="false">ASIN((0.9983271+0.0016764*COS($A$10*2*$B$5))*COS($A$10*AK328)*SIN($A$10*AJ328))/$A$10</f>
        <v>0.649530847143677</v>
      </c>
      <c r="AM328" s="32" t="n">
        <f aca="false">AK328-AL328</f>
        <v>-49.4672896713755</v>
      </c>
      <c r="AN328" s="35" t="n">
        <f aca="false"> MOD(280.4664567 + 360007.6982779*L328/10 + 0.03032028*L328^2/100 + L328^3/49931000,360)</f>
        <v>241.956874097768</v>
      </c>
      <c r="AO328" s="32" t="n">
        <f aca="false"> AN328 + (1.9146 - 0.004817*L328 - 0.000014*L328^2)*SIN(Q328)+ (0.019993 - 0.000101*L328)*SIN(2*Q328)+ 0.00029*SIN(3*Q328)</f>
        <v>240.672021195711</v>
      </c>
      <c r="AP328" s="32" t="n">
        <f aca="false">ACOS(COS(W328-$A$10*AO328)*COS(Y328))/$A$10</f>
        <v>12.8142954547267</v>
      </c>
      <c r="AQ328" s="34" t="n">
        <f aca="false">180 - AP328 -0.1468*(1-0.0549*SIN(Q328))*SIN($A$10*AP328)/(1-0.0167*SIN($A$10*AO328))</f>
        <v>167.152448193846</v>
      </c>
      <c r="AR328" s="64" t="n">
        <f aca="false">SIN($A$10*AI328)</f>
        <v>-0.52502815008001</v>
      </c>
      <c r="AS328" s="64" t="n">
        <f aca="false">COS($A$10*AI328)*SIN($A$10*$B$5) - TAN($A$10*AG328)*COS($A$10*$B$5)</f>
        <v>-0.448651251994651</v>
      </c>
      <c r="AT328" s="24" t="n">
        <f aca="false">IF(OR(AND(AR328*AS328&gt;0), AND(AR328&lt;0,AS328&gt;0)), MOD(ATAN2(AS328,AR328)/$A$10+360,360),  ATAN2(AS328,AR328)/$A$10)</f>
        <v>229.485184199416</v>
      </c>
      <c r="AU328" s="39" t="n">
        <f aca="false"> 385000.56 + (-20905355*COS(P328) - 3699111*COS(2*R328-P328) - 2955968*COS(2*R328) - 569925*COS(2*P328) + (1-0.002516*L328)*48888*COS(Q328) - 3149*COS(2*S328)  +246158*COS(2*R328-2*P328) -(1 - 0.002516*L328)*152138*COS(2*R328-Q328-P328) -170733*COS(2*R328+P328) -(1 - 0.002516*L328)*204586*COS(2*R328-Q328) -(1 - 0.002516*L328)*129620*COS(Q328-P328)  + 108743*COS(R328) +(1-0.002516*L328)*104755*COS(Q328+P328) +10321*COS(2*R328-2*S328) +79661*COS(P328-2*S328) -34782*COS(4*R328-P328) -23210*COS(3*P328)  -21636*COS(4*R328-2*P328) +(1 - 0.002516*L328)*24208*COS(2*R328+Q328-P328) +(1 - 0.002516*L328)*30824*COS(2*R328+Q328) -8379*COS(R328-P328) -(1 - 0.002516*L328)*16675*COS(R328+Q328)  -(1 - 0.002516*L328)*12831*COS(2*R328-Q328+P328) -10445*COS(2*R328+2*P328) -11650*COS(4*R328) +14403*COS(2*R328-3*P328) -(1-0.002516*L328)*7003*COS(Q328-2*P328)  + (1 - 0.002516*L328)*10056*COS(2*R328-Q328-2*P328) +6322*COS(R328+P328) -(1 - 0.002516*L328)*(1-0.002516*L328)*9884*COS(2*R328-2*Q328) +(1-0.002516*L328)*5751*COS(Q328+2*P328) - (1-0.002516*L328)^2*4950*COS(2*R328-2*Q328-P328)  +4130*COS(2*R328+P328-2*S328) -(1-0.002516*L328)*3958*COS(4*R328-Q328-P328) +3258*COS(3*R328-P328) +(1 - 0.002516*L328)*2616*COS(2*R328+Q328+P328) -(1 - 0.002516*L328)*1897*COS(4*R328-Q328-2*P328)  -(1-0.002516*L328)^2*2117*COS(2*Q328-P328) +(1-0.002516*L328)^2*2354*COS(2*R328+2*Q328-P328) -1423*COS(4*R328+P328) -1117*COS(4*P328) -(1-0.002516*L328)*1571*COS(4*R328-Q328)  -1739*COS(R328-2*P328) -4421*COS(2*P328-2*S328) +(1-0.002516*L328)^2*1165*COS(2*Q328+P328) +8752*COS(2*R328-P328-2*S328))/1000</f>
        <v>369761.37201225</v>
      </c>
      <c r="AV328" s="54" t="n">
        <f aca="false">ATAN(0.99664719*TAN($A$10*input!$E$2))</f>
        <v>0.871010436227447</v>
      </c>
      <c r="AW328" s="54" t="n">
        <f aca="false">COS(AV328)</f>
        <v>0.644053912545845</v>
      </c>
      <c r="AX328" s="54" t="n">
        <f aca="false">0.99664719*SIN(AV328)</f>
        <v>0.762415269897027</v>
      </c>
      <c r="AY328" s="54" t="n">
        <f aca="false">6378.14/AU328</f>
        <v>0.0172493410149633</v>
      </c>
      <c r="AZ328" s="55" t="n">
        <f aca="false">M328-15*AH328</f>
        <v>-148.32986167771</v>
      </c>
      <c r="BA328" s="56" t="n">
        <f aca="false">COS($A$10*AG328)*SIN($A$10*AZ328)</f>
        <v>-0.50058343985384</v>
      </c>
      <c r="BB328" s="56" t="n">
        <f aca="false">COS($A$10*AG328)*COS($A$10*AZ328)-AW328*AY328</f>
        <v>-0.822568829333632</v>
      </c>
      <c r="BC328" s="56" t="n">
        <f aca="false">SIN($A$10*AG328)-AX328*AY328</f>
        <v>-0.314730314144958</v>
      </c>
      <c r="BD328" s="57" t="n">
        <f aca="false">SQRT(BA328^2+BB328^2+BC328^2)</f>
        <v>1.01304414014839</v>
      </c>
      <c r="BE328" s="58" t="n">
        <f aca="false">AU328*BD328</f>
        <v>374584.591170238</v>
      </c>
    </row>
    <row r="329" customFormat="false" ht="15" hidden="false" customHeight="false" outlineLevel="0" collapsed="false">
      <c r="D329" s="41" t="n">
        <f aca="false">K329-INT(275*E329/9)+IF($A$8="common year",2,1)*INT((E329+9)/12)+30</f>
        <v>24</v>
      </c>
      <c r="E329" s="41" t="n">
        <f aca="false">IF(K329&lt;32,1,INT(9*(IF($A$8="common year",2,1)+K329)/275+0.98))</f>
        <v>11</v>
      </c>
      <c r="F329" s="42" t="n">
        <f aca="false">AM329</f>
        <v>-59.3488592072843</v>
      </c>
      <c r="G329" s="60" t="n">
        <f aca="false">F329+1.02/(TAN($A$10*(F329+10.3/(F329+5.11)))*60)</f>
        <v>-59.3588574881116</v>
      </c>
      <c r="H329" s="43" t="n">
        <f aca="false">100*(1+COS($A$10*AQ329))/2</f>
        <v>0.0246872626110284</v>
      </c>
      <c r="I329" s="43" t="n">
        <f aca="false">IF(AI329&gt;180,AT329-180,AT329+180)</f>
        <v>33.8273765639591</v>
      </c>
      <c r="J329" s="61" t="n">
        <f aca="false">$J$2+K328</f>
        <v>2459907.5</v>
      </c>
      <c r="K329" s="21" t="n">
        <v>328</v>
      </c>
      <c r="L329" s="62" t="n">
        <f aca="false">(J329-2451545)/36525</f>
        <v>0.228952772073922</v>
      </c>
      <c r="M329" s="63" t="n">
        <f aca="false">MOD(280.46061837+360.98564736629*(J329-2451545)+0.000387933*L329^2-L329^3/38710000+$B$7,360)</f>
        <v>77.9367393050343</v>
      </c>
      <c r="N329" s="30" t="n">
        <f aca="false">0.606433+1336.855225*L329 - INT(0.606433+1336.855225*L329)</f>
        <v>0.683142625256664</v>
      </c>
      <c r="O329" s="35" t="n">
        <f aca="false">22640*SIN(P329)-4586*SIN(P329-2*R329)+2370*SIN(2*R329)+769*SIN(2*P329)-668*SIN(Q329)-412*SIN(2*S329)-212*SIN(2*P329-2*R329)-206*SIN(P329+Q329-2*R329)+192*SIN(P329+2*R329)-165*SIN(Q329-2*R329)-125*SIN(R329)-110*SIN(P329+Q329)+148*SIN(P329-Q329)-55*SIN(2*S329-2*R329)</f>
        <v>-13279.270643048</v>
      </c>
      <c r="P329" s="32" t="n">
        <f aca="false">2*PI()*(0.374897+1325.55241*L329 - INT(0.374897+1325.55241*L329))</f>
        <v>5.42738907122234</v>
      </c>
      <c r="Q329" s="36" t="n">
        <f aca="false">2*PI()*(0.993133+99.997361*L329 - INT(0.993133+99.997361*L329))</f>
        <v>5.57824962127678</v>
      </c>
      <c r="R329" s="36" t="n">
        <f aca="false">2*PI()*(0.827361+1236.853086*L329 - INT(0.827361+1236.853086*L329))</f>
        <v>0.0521736097145503</v>
      </c>
      <c r="S329" s="36" t="n">
        <f aca="false">2*PI()*(0.259086+1342.227825*L329 - INT(0.259086+1342.227825*L329))</f>
        <v>3.55544903292346</v>
      </c>
      <c r="T329" s="36" t="n">
        <f aca="false">S329+(O329+412*SIN(2*S329)+541*SIN(Q329))/206264.8062</f>
        <v>3.49084063110882</v>
      </c>
      <c r="U329" s="36" t="n">
        <f aca="false">S329-2*R329</f>
        <v>3.45110181349436</v>
      </c>
      <c r="V329" s="34" t="n">
        <f aca="false">-526*SIN(U329)+44*SIN(P329+U329)-31*SIN(-P329+U329)-23*SIN(Q329+U329)+11*SIN(-Q329+U329)-25*SIN(-2*P329+S329)+21*SIN(-P329+S329)</f>
        <v>194.556353634514</v>
      </c>
      <c r="W329" s="36" t="n">
        <f aca="false">2*PI()*(N329+O329/1296000-INT(N329+O329/1296000))</f>
        <v>4.22793198489171</v>
      </c>
      <c r="X329" s="35" t="n">
        <f aca="false">W329*180/PI()</f>
        <v>242.242658802664</v>
      </c>
      <c r="Y329" s="36" t="n">
        <f aca="false">(18520*SIN(T329)+V329)/206264.8062</f>
        <v>-0.0297812617027378</v>
      </c>
      <c r="Z329" s="36" t="n">
        <f aca="false">Y329*180/PI()</f>
        <v>-1.70634060414147</v>
      </c>
      <c r="AA329" s="36" t="n">
        <f aca="false">COS(Y329)*COS(W329)</f>
        <v>-0.465521390995888</v>
      </c>
      <c r="AB329" s="36" t="n">
        <f aca="false">COS(Y329)*SIN(W329)</f>
        <v>-0.884535569186886</v>
      </c>
      <c r="AC329" s="36" t="n">
        <f aca="false">SIN(Y329)</f>
        <v>-0.0297768596142396</v>
      </c>
      <c r="AD329" s="36" t="n">
        <f aca="false">COS($A$10*(23.4393-46.815*L329/3600))*AB329-SIN($A$10*(23.4393-46.815*L329/3600))*AC329</f>
        <v>-0.799720606784447</v>
      </c>
      <c r="AE329" s="36" t="n">
        <f aca="false">SIN($A$10*(23.4393-46.815*L329/3600))*AB329+COS($A$10*(23.4393-46.815*L329/3600))*AC329</f>
        <v>-0.379126345180034</v>
      </c>
      <c r="AF329" s="36" t="n">
        <f aca="false">SQRT(1-AE329*AE329)</f>
        <v>0.925344916444906</v>
      </c>
      <c r="AG329" s="35" t="n">
        <f aca="false">ATAN(AE329/AF329)/$A$10</f>
        <v>-22.2795769661018</v>
      </c>
      <c r="AH329" s="36" t="n">
        <f aca="false">IF(24*ATAN(AD329/(AA329+AF329))/PI()&gt;0,24*ATAN(AD329/(AA329+AF329))/PI(),24*ATAN(AD329/(AA329+AF329))/PI()+24)</f>
        <v>15.9864066467127</v>
      </c>
      <c r="AI329" s="63" t="n">
        <f aca="false">IF(M329-15*AH329&gt;0,M329-15*AH329,360+M329-15*AH329)</f>
        <v>198.140639604343</v>
      </c>
      <c r="AJ329" s="32" t="n">
        <f aca="false">0.950724+0.051818*COS(P329)+0.009531*COS(2*R329-P329)+0.007843*COS(2*R329)+0.002824*COS(2*P329)+0.000857*COS(2*R329+P329)+0.000533*COS(2*R329-Q329)*(1-0.002495*(J329-2415020)/36525)+0.000401*COS(2*R329-Q329-P329)*(1-0.002495*(J329-2415020)/36525)+0.00032*COS(P329-Q329)*(1-0.002495*(J329-2415020)/36525)-0.000271*COS(R329)</f>
        <v>0.998565920332064</v>
      </c>
      <c r="AK329" s="36" t="n">
        <f aca="false">ASIN(COS($A$10*$B$5)*COS($A$10*AG329)*COS($A$10*AI329)+SIN($A$10*$B$5)*SIN($A$10*AG329))/$A$10</f>
        <v>-58.8331027799866</v>
      </c>
      <c r="AL329" s="32" t="n">
        <f aca="false">ASIN((0.9983271+0.0016764*COS($A$10*2*$B$5))*COS($A$10*AK329)*SIN($A$10*AJ329))/$A$10</f>
        <v>0.51575642729766</v>
      </c>
      <c r="AM329" s="32" t="n">
        <f aca="false">AK329-AL329</f>
        <v>-59.3488592072843</v>
      </c>
      <c r="AN329" s="35" t="n">
        <f aca="false"> MOD(280.4664567 + 360007.6982779*L329/10 + 0.03032028*L329^2/100 + L329^3/49931000,360)</f>
        <v>242.942521461671</v>
      </c>
      <c r="AO329" s="32" t="n">
        <f aca="false"> AN329 + (1.9146 - 0.004817*L329 - 0.000014*L329^2)*SIN(Q329)+ (0.019993 - 0.000101*L329)*SIN(2*Q329)+ 0.00029*SIN(3*Q329)</f>
        <v>241.682644801015</v>
      </c>
      <c r="AP329" s="32" t="n">
        <f aca="false">ACOS(COS(W329-$A$10*AO329)*COS(Y329))/$A$10</f>
        <v>1.79586224850371</v>
      </c>
      <c r="AQ329" s="34" t="n">
        <f aca="false">180 - AP329 -0.1468*(1-0.0549*SIN(Q329))*SIN($A$10*AP329)/(1-0.0167*SIN($A$10*AO329))</f>
        <v>178.199442614268</v>
      </c>
      <c r="AR329" s="64" t="n">
        <f aca="false">SIN($A$10*AI329)</f>
        <v>-0.311350547386854</v>
      </c>
      <c r="AS329" s="64" t="n">
        <f aca="false">COS($A$10*AI329)*SIN($A$10*$B$5) - TAN($A$10*AG329)*COS($A$10*$B$5)</f>
        <v>-0.464609515050919</v>
      </c>
      <c r="AT329" s="24" t="n">
        <f aca="false">IF(OR(AND(AR329*AS329&gt;0), AND(AR329&lt;0,AS329&gt;0)), MOD(ATAN2(AS329,AR329)/$A$10+360,360),  ATAN2(AS329,AR329)/$A$10)</f>
        <v>213.827376563959</v>
      </c>
      <c r="AU329" s="39" t="n">
        <f aca="false"> 385000.56 + (-20905355*COS(P329) - 3699111*COS(2*R329-P329) - 2955968*COS(2*R329) - 569925*COS(2*P329) + (1-0.002516*L329)*48888*COS(Q329) - 3149*COS(2*S329)  +246158*COS(2*R329-2*P329) -(1 - 0.002516*L329)*152138*COS(2*R329-Q329-P329) -170733*COS(2*R329+P329) -(1 - 0.002516*L329)*204586*COS(2*R329-Q329) -(1 - 0.002516*L329)*129620*COS(Q329-P329)  + 108743*COS(R329) +(1-0.002516*L329)*104755*COS(Q329+P329) +10321*COS(2*R329-2*S329) +79661*COS(P329-2*S329) -34782*COS(4*R329-P329) -23210*COS(3*P329)  -21636*COS(4*R329-2*P329) +(1 - 0.002516*L329)*24208*COS(2*R329+Q329-P329) +(1 - 0.002516*L329)*30824*COS(2*R329+Q329) -8379*COS(R329-P329) -(1 - 0.002516*L329)*16675*COS(R329+Q329)  -(1 - 0.002516*L329)*12831*COS(2*R329-Q329+P329) -10445*COS(2*R329+2*P329) -11650*COS(4*R329) +14403*COS(2*R329-3*P329) -(1-0.002516*L329)*7003*COS(Q329-2*P329)  + (1 - 0.002516*L329)*10056*COS(2*R329-Q329-2*P329) +6322*COS(R329+P329) -(1 - 0.002516*L329)*(1-0.002516*L329)*9884*COS(2*R329-2*Q329) +(1-0.002516*L329)*5751*COS(Q329+2*P329) - (1-0.002516*L329)^2*4950*COS(2*R329-2*Q329-P329)  +4130*COS(2*R329+P329-2*S329) -(1-0.002516*L329)*3958*COS(4*R329-Q329-P329) +3258*COS(3*R329-P329) +(1 - 0.002516*L329)*2616*COS(2*R329+Q329+P329) -(1 - 0.002516*L329)*1897*COS(4*R329-Q329-2*P329)  -(1-0.002516*L329)^2*2117*COS(2*Q329-P329) +(1-0.002516*L329)^2*2354*COS(2*R329+2*Q329-P329) -1423*COS(4*R329+P329) -1117*COS(4*P329) -(1-0.002516*L329)*1571*COS(4*R329-Q329)  -1739*COS(R329-2*P329) -4421*COS(2*P329-2*S329) +(1-0.002516*L329)^2*1165*COS(2*Q329+P329) +8752*COS(2*R329-P329-2*S329))/1000</f>
        <v>366028.38933878</v>
      </c>
      <c r="AV329" s="54" t="n">
        <f aca="false">ATAN(0.99664719*TAN($A$10*input!$E$2))</f>
        <v>0.871010436227447</v>
      </c>
      <c r="AW329" s="54" t="n">
        <f aca="false">COS(AV329)</f>
        <v>0.644053912545845</v>
      </c>
      <c r="AX329" s="54" t="n">
        <f aca="false">0.99664719*SIN(AV329)</f>
        <v>0.762415269897027</v>
      </c>
      <c r="AY329" s="54" t="n">
        <f aca="false">6378.14/AU329</f>
        <v>0.0174252604054071</v>
      </c>
      <c r="AZ329" s="55" t="n">
        <f aca="false">M329-15*AH329</f>
        <v>-161.859360395657</v>
      </c>
      <c r="BA329" s="56" t="n">
        <f aca="false">COS($A$10*AG329)*SIN($A$10*AZ329)</f>
        <v>-0.288106646256763</v>
      </c>
      <c r="BB329" s="56" t="n">
        <f aca="false">COS($A$10*AG329)*COS($A$10*AZ329)-AW329*AY329</f>
        <v>-0.890573576045832</v>
      </c>
      <c r="BC329" s="56" t="n">
        <f aca="false">SIN($A$10*AG329)-AX329*AY329</f>
        <v>-0.392411629795049</v>
      </c>
      <c r="BD329" s="57" t="n">
        <f aca="false">SQRT(BA329^2+BB329^2+BC329^2)</f>
        <v>1.0149451320967</v>
      </c>
      <c r="BE329" s="58" t="n">
        <f aca="false">AU329*BD329</f>
        <v>371498.731968591</v>
      </c>
    </row>
    <row r="330" customFormat="false" ht="15" hidden="false" customHeight="false" outlineLevel="0" collapsed="false">
      <c r="D330" s="41" t="n">
        <f aca="false">K330-INT(275*E330/9)+IF($A$8="common year",2,1)*INT((E330+9)/12)+30</f>
        <v>25</v>
      </c>
      <c r="E330" s="41" t="n">
        <f aca="false">IF(K330&lt;32,1,INT(9*(IF($A$8="common year",2,1)+K330)/275+0.98))</f>
        <v>11</v>
      </c>
      <c r="F330" s="42" t="n">
        <f aca="false">AM330</f>
        <v>-65.948640749352</v>
      </c>
      <c r="G330" s="60" t="n">
        <f aca="false">F330+1.02/(TAN($A$10*(F330+10.3/(F330+5.11)))*60)</f>
        <v>-65.9561677447496</v>
      </c>
      <c r="H330" s="43" t="n">
        <f aca="false">100*(1+COS($A$10*AQ330))/2</f>
        <v>1.59558389475065</v>
      </c>
      <c r="I330" s="43" t="n">
        <f aca="false">IF(AI330&gt;180,AT330-180,AT330+180)</f>
        <v>7.61273912411542</v>
      </c>
      <c r="J330" s="61" t="n">
        <f aca="false">$J$2+K329</f>
        <v>2459908.5</v>
      </c>
      <c r="K330" s="21" t="n">
        <v>329</v>
      </c>
      <c r="L330" s="62" t="n">
        <f aca="false">(J330-2451545)/36525</f>
        <v>0.228980150581793</v>
      </c>
      <c r="M330" s="63" t="n">
        <f aca="false">MOD(280.46061837+360.98564736629*(J330-2451545)+0.000387933*L330^2-L330^3/38710000+$B$7,360)</f>
        <v>78.9223866760731</v>
      </c>
      <c r="N330" s="30" t="n">
        <f aca="false">0.606433+1336.855225*L330 - INT(0.606433+1336.855225*L330)</f>
        <v>0.719743726557169</v>
      </c>
      <c r="O330" s="35" t="n">
        <f aca="false">22640*SIN(P330)-4586*SIN(P330-2*R330)+2370*SIN(2*R330)+769*SIN(2*P330)-668*SIN(Q330)-412*SIN(2*S330)-212*SIN(2*P330-2*R330)-206*SIN(P330+Q330-2*R330)+192*SIN(P330+2*R330)-165*SIN(Q330-2*R330)-125*SIN(R330)-110*SIN(P330+Q330)+148*SIN(P330-Q330)-55*SIN(2*S330-2*R330)</f>
        <v>-8016.06643109775</v>
      </c>
      <c r="P330" s="32" t="n">
        <f aca="false">2*PI()*(0.374897+1325.55241*L330 - INT(0.374897+1325.55241*L330))</f>
        <v>5.65541621499816</v>
      </c>
      <c r="Q330" s="36" t="n">
        <f aca="false">2*PI()*(0.993133+99.997361*L330 - INT(0.993133+99.997361*L330))</f>
        <v>5.59545159114379</v>
      </c>
      <c r="R330" s="36" t="n">
        <f aca="false">2*PI()*(0.827361+1236.853086*L330 - INT(0.827361+1236.853086*L330))</f>
        <v>0.264942319833575</v>
      </c>
      <c r="S330" s="36" t="n">
        <f aca="false">2*PI()*(0.259086+1342.227825*L330 - INT(0.259086+1342.227825*L330))</f>
        <v>3.78634475226411</v>
      </c>
      <c r="T330" s="36" t="n">
        <f aca="false">S330+(O330+412*SIN(2*S330)+541*SIN(Q330))/206264.8062</f>
        <v>3.74773574607378</v>
      </c>
      <c r="U330" s="36" t="n">
        <f aca="false">S330-2*R330</f>
        <v>3.25646011259696</v>
      </c>
      <c r="V330" s="34" t="n">
        <f aca="false">-526*SIN(U330)+44*SIN(P330+U330)-31*SIN(-P330+U330)-23*SIN(Q330+U330)+11*SIN(-Q330+U330)-25*SIN(-2*P330+S330)+21*SIN(-P330+S330)</f>
        <v>86.0464462391657</v>
      </c>
      <c r="W330" s="36" t="n">
        <f aca="false">2*PI()*(N330+O330/1296000-INT(N330+O330/1296000))</f>
        <v>4.4834202208939</v>
      </c>
      <c r="X330" s="35" t="n">
        <f aca="false">W330*180/PI()</f>
        <v>256.881056440832</v>
      </c>
      <c r="Y330" s="36" t="n">
        <f aca="false">(18520*SIN(T330)+V330)/206264.8062</f>
        <v>-0.0507349408875338</v>
      </c>
      <c r="Z330" s="36" t="n">
        <f aca="false">Y330*180/PI()</f>
        <v>-2.9068979867014</v>
      </c>
      <c r="AA330" s="36" t="n">
        <f aca="false">COS(Y330)*COS(W330)</f>
        <v>-0.226681262372026</v>
      </c>
      <c r="AB330" s="36" t="n">
        <f aca="false">COS(Y330)*SIN(W330)</f>
        <v>-0.97264781851164</v>
      </c>
      <c r="AC330" s="36" t="n">
        <f aca="false">SIN(Y330)</f>
        <v>-0.0507131781095724</v>
      </c>
      <c r="AD330" s="36" t="n">
        <f aca="false">COS($A$10*(23.4393-46.815*L330/3600))*AB330-SIN($A$10*(23.4393-46.815*L330/3600))*AC330</f>
        <v>-0.872236839409818</v>
      </c>
      <c r="AE330" s="36" t="n">
        <f aca="false">SIN($A$10*(23.4393-46.815*L330/3600))*AB330+COS($A$10*(23.4393-46.815*L330/3600))*AC330</f>
        <v>-0.433380319426016</v>
      </c>
      <c r="AF330" s="36" t="n">
        <f aca="false">SQRT(1-AE330*AE330)</f>
        <v>0.901211128833973</v>
      </c>
      <c r="AG330" s="35" t="n">
        <f aca="false">ATAN(AE330/AF330)/$A$10</f>
        <v>-25.6822757896931</v>
      </c>
      <c r="AH330" s="36" t="n">
        <f aca="false">IF(24*ATAN(AD330/(AA330+AF330))/PI()&gt;0,24*ATAN(AD330/(AA330+AF330))/PI(),24*ATAN(AD330/(AA330+AF330))/PI()+24)</f>
        <v>17.0287970871476</v>
      </c>
      <c r="AI330" s="63" t="n">
        <f aca="false">IF(M330-15*AH330&gt;0,M330-15*AH330,360+M330-15*AH330)</f>
        <v>183.490430368859</v>
      </c>
      <c r="AJ330" s="32" t="n">
        <f aca="false">0.950724+0.051818*COS(P330)+0.009531*COS(2*R330-P330)+0.007843*COS(2*R330)+0.002824*COS(2*P330)+0.000857*COS(2*R330+P330)+0.000533*COS(2*R330-Q330)*(1-0.002495*(J330-2415020)/36525)+0.000401*COS(2*R330-Q330-P330)*(1-0.002495*(J330-2415020)/36525)+0.00032*COS(P330-Q330)*(1-0.002495*(J330-2415020)/36525)-0.000271*COS(R330)</f>
        <v>1.00511722466075</v>
      </c>
      <c r="AK330" s="36" t="n">
        <f aca="false">ASIN(COS($A$10*$B$5)*COS($A$10*AG330)*COS($A$10*AI330)+SIN($A$10*$B$5)*SIN($A$10*AG330))/$A$10</f>
        <v>-65.533190577224</v>
      </c>
      <c r="AL330" s="32" t="n">
        <f aca="false">ASIN((0.9983271+0.0016764*COS($A$10*2*$B$5))*COS($A$10*AK330)*SIN($A$10*AJ330))/$A$10</f>
        <v>0.415450172128049</v>
      </c>
      <c r="AM330" s="32" t="n">
        <f aca="false">AK330-AL330</f>
        <v>-65.948640749352</v>
      </c>
      <c r="AN330" s="35" t="n">
        <f aca="false"> MOD(280.4664567 + 360007.6982779*L330/10 + 0.03032028*L330^2/100 + L330^3/49931000,360)</f>
        <v>243.928168825576</v>
      </c>
      <c r="AO330" s="32" t="n">
        <f aca="false"> AN330 + (1.9146 - 0.004817*L330 - 0.000014*L330^2)*SIN(Q330)+ (0.019993 - 0.000101*L330)*SIN(2*Q330)+ 0.00029*SIN(3*Q330)</f>
        <v>242.693659284698</v>
      </c>
      <c r="AP330" s="32" t="n">
        <f aca="false">ACOS(COS(W330-$A$10*AO330)*COS(Y330))/$A$10</f>
        <v>14.4761476966691</v>
      </c>
      <c r="AQ330" s="34" t="n">
        <f aca="false">180 - AP330 -0.1468*(1-0.0549*SIN(Q330))*SIN($A$10*AP330)/(1-0.0167*SIN($A$10*AO330))</f>
        <v>165.486432097716</v>
      </c>
      <c r="AR330" s="64" t="n">
        <f aca="false">SIN($A$10*AI330)</f>
        <v>-0.0608818286414118</v>
      </c>
      <c r="AS330" s="64" t="n">
        <f aca="false">COS($A$10*AI330)*SIN($A$10*$B$5) - TAN($A$10*AG330)*COS($A$10*$B$5)</f>
        <v>-0.455515493739081</v>
      </c>
      <c r="AT330" s="24" t="n">
        <f aca="false">IF(OR(AND(AR330*AS330&gt;0), AND(AR330&lt;0,AS330&gt;0)), MOD(ATAN2(AS330,AR330)/$A$10+360,360),  ATAN2(AS330,AR330)/$A$10)</f>
        <v>187.612739124115</v>
      </c>
      <c r="AU330" s="39" t="n">
        <f aca="false"> 385000.56 + (-20905355*COS(P330) - 3699111*COS(2*R330-P330) - 2955968*COS(2*R330) - 569925*COS(2*P330) + (1-0.002516*L330)*48888*COS(Q330) - 3149*COS(2*S330)  +246158*COS(2*R330-2*P330) -(1 - 0.002516*L330)*152138*COS(2*R330-Q330-P330) -170733*COS(2*R330+P330) -(1 - 0.002516*L330)*204586*COS(2*R330-Q330) -(1 - 0.002516*L330)*129620*COS(Q330-P330)  + 108743*COS(R330) +(1-0.002516*L330)*104755*COS(Q330+P330) +10321*COS(2*R330-2*S330) +79661*COS(P330-2*S330) -34782*COS(4*R330-P330) -23210*COS(3*P330)  -21636*COS(4*R330-2*P330) +(1 - 0.002516*L330)*24208*COS(2*R330+Q330-P330) +(1 - 0.002516*L330)*30824*COS(2*R330+Q330) -8379*COS(R330-P330) -(1 - 0.002516*L330)*16675*COS(R330+Q330)  -(1 - 0.002516*L330)*12831*COS(2*R330-Q330+P330) -10445*COS(2*R330+2*P330) -11650*COS(4*R330) +14403*COS(2*R330-3*P330) -(1-0.002516*L330)*7003*COS(Q330-2*P330)  + (1 - 0.002516*L330)*10056*COS(2*R330-Q330-2*P330) +6322*COS(R330+P330) -(1 - 0.002516*L330)*(1-0.002516*L330)*9884*COS(2*R330-2*Q330) +(1-0.002516*L330)*5751*COS(Q330+2*P330) - (1-0.002516*L330)^2*4950*COS(2*R330-2*Q330-P330)  +4130*COS(2*R330+P330-2*S330) -(1-0.002516*L330)*3958*COS(4*R330-Q330-P330) +3258*COS(3*R330-P330) +(1 - 0.002516*L330)*2616*COS(2*R330+Q330+P330) -(1 - 0.002516*L330)*1897*COS(4*R330-Q330-2*P330)  -(1-0.002516*L330)^2*2117*COS(2*Q330-P330) +(1-0.002516*L330)^2*2354*COS(2*R330+2*Q330-P330) -1423*COS(4*R330+P330) -1117*COS(4*P330) -(1-0.002516*L330)*1571*COS(4*R330-Q330)  -1739*COS(R330-2*P330) -4421*COS(2*P330-2*S330) +(1-0.002516*L330)^2*1165*COS(2*Q330+P330) +8752*COS(2*R330-P330-2*S330))/1000</f>
        <v>363676.10661946</v>
      </c>
      <c r="AV330" s="54" t="n">
        <f aca="false">ATAN(0.99664719*TAN($A$10*input!$E$2))</f>
        <v>0.871010436227447</v>
      </c>
      <c r="AW330" s="54" t="n">
        <f aca="false">COS(AV330)</f>
        <v>0.644053912545845</v>
      </c>
      <c r="AX330" s="54" t="n">
        <f aca="false">0.99664719*SIN(AV330)</f>
        <v>0.762415269897027</v>
      </c>
      <c r="AY330" s="54" t="n">
        <f aca="false">6378.14/AU330</f>
        <v>0.0175379682192702</v>
      </c>
      <c r="AZ330" s="55" t="n">
        <f aca="false">M330-15*AH330</f>
        <v>-176.509569631141</v>
      </c>
      <c r="BA330" s="56" t="n">
        <f aca="false">COS($A$10*AG330)*SIN($A$10*AZ330)</f>
        <v>-0.0548673815154023</v>
      </c>
      <c r="BB330" s="56" t="n">
        <f aca="false">COS($A$10*AG330)*COS($A$10*AZ330)-AW330*AY330</f>
        <v>-0.910834762047082</v>
      </c>
      <c r="BC330" s="56" t="n">
        <f aca="false">SIN($A$10*AG330)-AX330*AY330</f>
        <v>-0.446751534199356</v>
      </c>
      <c r="BD330" s="57" t="n">
        <f aca="false">SQRT(BA330^2+BB330^2+BC330^2)</f>
        <v>1.01598096764516</v>
      </c>
      <c r="BE330" s="58" t="n">
        <f aca="false">AU330*BD330</f>
        <v>369488.002712664</v>
      </c>
    </row>
    <row r="331" customFormat="false" ht="15" hidden="false" customHeight="false" outlineLevel="0" collapsed="false">
      <c r="D331" s="41" t="n">
        <f aca="false">K331-INT(275*E331/9)+IF($A$8="common year",2,1)*INT((E331+9)/12)+30</f>
        <v>26</v>
      </c>
      <c r="E331" s="41" t="n">
        <f aca="false">IF(K331&lt;32,1,INT(9*(IF($A$8="common year",2,1)+K331)/275+0.98))</f>
        <v>11</v>
      </c>
      <c r="F331" s="42" t="n">
        <f aca="false">AM331</f>
        <v>-65.9874663985209</v>
      </c>
      <c r="G331" s="60" t="n">
        <f aca="false">F331+1.02/(TAN($A$10*(F331+10.3/(F331+5.11)))*60)</f>
        <v>-65.9949796581952</v>
      </c>
      <c r="H331" s="43" t="n">
        <f aca="false">100*(1+COS($A$10*AQ331))/2</f>
        <v>5.9678253123045</v>
      </c>
      <c r="I331" s="43" t="n">
        <f aca="false">IF(AI331&gt;180,AT331-180,AT331+180)</f>
        <v>333.573716600729</v>
      </c>
      <c r="J331" s="61" t="n">
        <f aca="false">$J$2+K330</f>
        <v>2459909.5</v>
      </c>
      <c r="K331" s="21" t="n">
        <v>330</v>
      </c>
      <c r="L331" s="62" t="n">
        <f aca="false">(J331-2451545)/36525</f>
        <v>0.229007529089665</v>
      </c>
      <c r="M331" s="63" t="n">
        <f aca="false">MOD(280.46061837+360.98564736629*(J331-2451545)+0.000387933*L331^2-L331^3/38710000+$B$7,360)</f>
        <v>79.9080340471119</v>
      </c>
      <c r="N331" s="30" t="n">
        <f aca="false">0.606433+1336.855225*L331 - INT(0.606433+1336.855225*L331)</f>
        <v>0.756344827857618</v>
      </c>
      <c r="O331" s="35" t="n">
        <f aca="false">22640*SIN(P331)-4586*SIN(P331-2*R331)+2370*SIN(2*R331)+769*SIN(2*P331)-668*SIN(Q331)-412*SIN(2*S331)-212*SIN(2*P331-2*R331)-206*SIN(P331+Q331-2*R331)+192*SIN(P331+2*R331)-165*SIN(Q331-2*R331)-125*SIN(R331)-110*SIN(P331+Q331)+148*SIN(P331-Q331)-55*SIN(2*S331-2*R331)</f>
        <v>-2238.76254394648</v>
      </c>
      <c r="P331" s="32" t="n">
        <f aca="false">2*PI()*(0.374897+1325.55241*L331 - INT(0.374897+1325.55241*L331))</f>
        <v>5.88344335877362</v>
      </c>
      <c r="Q331" s="36" t="n">
        <f aca="false">2*PI()*(0.993133+99.997361*L331 - INT(0.993133+99.997361*L331))</f>
        <v>5.61265356101077</v>
      </c>
      <c r="R331" s="36" t="n">
        <f aca="false">2*PI()*(0.827361+1236.853086*L331 - INT(0.827361+1236.853086*L331))</f>
        <v>0.477711029952599</v>
      </c>
      <c r="S331" s="36" t="n">
        <f aca="false">2*PI()*(0.259086+1342.227825*L331 - INT(0.259086+1342.227825*L331))</f>
        <v>4.01724047160511</v>
      </c>
      <c r="T331" s="36" t="n">
        <f aca="false">S331+(O331+412*SIN(2*S331)+541*SIN(Q331))/206264.8062</f>
        <v>4.00672178584731</v>
      </c>
      <c r="U331" s="36" t="n">
        <f aca="false">S331-2*R331</f>
        <v>3.06181841169991</v>
      </c>
      <c r="V331" s="34" t="n">
        <f aca="false">-526*SIN(U331)+44*SIN(P331+U331)-31*SIN(-P331+U331)-23*SIN(Q331+U331)+11*SIN(-Q331+U331)-25*SIN(-2*P331+S331)+21*SIN(-P331+S331)</f>
        <v>-28.9027911576624</v>
      </c>
      <c r="W331" s="36" t="n">
        <f aca="false">2*PI()*(N331+O331/1296000-INT(N331+O331/1296000))</f>
        <v>4.74140088245565</v>
      </c>
      <c r="X331" s="35" t="n">
        <f aca="false">W331*180/PI()</f>
        <v>271.662259544313</v>
      </c>
      <c r="Y331" s="36" t="n">
        <f aca="false">(18520*SIN(T331)+V331)/206264.8062</f>
        <v>-0.0684844809846037</v>
      </c>
      <c r="Z331" s="36" t="n">
        <f aca="false">Y331*180/PI()</f>
        <v>-3.92387172256173</v>
      </c>
      <c r="AA331" s="36" t="n">
        <f aca="false">COS(Y331)*COS(W331)</f>
        <v>0.0289398338176358</v>
      </c>
      <c r="AB331" s="36" t="n">
        <f aca="false">COS(Y331)*SIN(W331)</f>
        <v>-0.997236025081602</v>
      </c>
      <c r="AC331" s="36" t="n">
        <f aca="false">SIN(Y331)</f>
        <v>-0.0684309600842641</v>
      </c>
      <c r="AD331" s="36" t="n">
        <f aca="false">COS($A$10*(23.4393-46.815*L331/3600))*AB331-SIN($A$10*(23.4393-46.815*L331/3600))*AC331</f>
        <v>-0.88774970087356</v>
      </c>
      <c r="AE331" s="36" t="n">
        <f aca="false">SIN($A$10*(23.4393-46.815*L331/3600))*AB331+COS($A$10*(23.4393-46.815*L331/3600))*AC331</f>
        <v>-0.459415884158909</v>
      </c>
      <c r="AF331" s="36" t="n">
        <f aca="false">SQRT(1-AE331*AE331)</f>
        <v>0.888221281766254</v>
      </c>
      <c r="AG331" s="35" t="n">
        <f aca="false">ATAN(AE331/AF331)/$A$10</f>
        <v>-27.3494219964179</v>
      </c>
      <c r="AH331" s="36" t="n">
        <f aca="false">IF(24*ATAN(AD331/(AA331+AF331))/PI()&gt;0,24*ATAN(AD331/(AA331+AF331))/PI(),24*ATAN(AD331/(AA331+AF331))/PI()+24)</f>
        <v>18.1244752768111</v>
      </c>
      <c r="AI331" s="63" t="n">
        <f aca="false">IF(M331-15*AH331&gt;0,M331-15*AH331,360+M331-15*AH331)</f>
        <v>168.040904894945</v>
      </c>
      <c r="AJ331" s="32" t="n">
        <f aca="false">0.950724+0.051818*COS(P331)+0.009531*COS(2*R331-P331)+0.007843*COS(2*R331)+0.002824*COS(2*P331)+0.000857*COS(2*R331+P331)+0.000533*COS(2*R331-Q331)*(1-0.002495*(J331-2415020)/36525)+0.000401*COS(2*R331-Q331-P331)*(1-0.002495*(J331-2415020)/36525)+0.00032*COS(P331-Q331)*(1-0.002495*(J331-2415020)/36525)-0.000271*COS(R331)</f>
        <v>1.00758192171918</v>
      </c>
      <c r="AK331" s="36" t="n">
        <f aca="false">ASIN(COS($A$10*$B$5)*COS($A$10*AG331)*COS($A$10*AI331)+SIN($A$10*$B$5)*SIN($A$10*AG331))/$A$10</f>
        <v>-65.5716114195717</v>
      </c>
      <c r="AL331" s="32" t="n">
        <f aca="false">ASIN((0.9983271+0.0016764*COS($A$10*2*$B$5))*COS($A$10*AK331)*SIN($A$10*AJ331))/$A$10</f>
        <v>0.415854978949201</v>
      </c>
      <c r="AM331" s="32" t="n">
        <f aca="false">AK331-AL331</f>
        <v>-65.9874663985209</v>
      </c>
      <c r="AN331" s="35" t="n">
        <f aca="false"> MOD(280.4664567 + 360007.6982779*L331/10 + 0.03032028*L331^2/100 + L331^3/49931000,360)</f>
        <v>244.913816189483</v>
      </c>
      <c r="AO331" s="32" t="n">
        <f aca="false"> AN331 + (1.9146 - 0.004817*L331 - 0.000014*L331^2)*SIN(Q331)+ (0.019993 - 0.000101*L331)*SIN(2*Q331)+ 0.00029*SIN(3*Q331)</f>
        <v>243.705057050055</v>
      </c>
      <c r="AP331" s="32" t="n">
        <f aca="false">ACOS(COS(W331-$A$10*AO331)*COS(Y331))/$A$10</f>
        <v>28.2092146124383</v>
      </c>
      <c r="AQ331" s="34" t="n">
        <f aca="false">180 - AP331 -0.1468*(1-0.0549*SIN(Q331))*SIN($A$10*AP331)/(1-0.0167*SIN($A$10*AO331))</f>
        <v>151.720085365092</v>
      </c>
      <c r="AR331" s="64" t="n">
        <f aca="false">SIN($A$10*AI331)</f>
        <v>0.207213313771225</v>
      </c>
      <c r="AS331" s="64" t="n">
        <f aca="false">COS($A$10*AI331)*SIN($A$10*$B$5) - TAN($A$10*AG331)*COS($A$10*$B$5)</f>
        <v>-0.416948152723299</v>
      </c>
      <c r="AT331" s="24" t="n">
        <f aca="false">IF(OR(AND(AR331*AS331&gt;0), AND(AR331&lt;0,AS331&gt;0)), MOD(ATAN2(AS331,AR331)/$A$10+360,360),  ATAN2(AS331,AR331)/$A$10)</f>
        <v>153.573716600729</v>
      </c>
      <c r="AU331" s="39" t="n">
        <f aca="false"> 385000.56 + (-20905355*COS(P331) - 3699111*COS(2*R331-P331) - 2955968*COS(2*R331) - 569925*COS(2*P331) + (1-0.002516*L331)*48888*COS(Q331) - 3149*COS(2*S331)  +246158*COS(2*R331-2*P331) -(1 - 0.002516*L331)*152138*COS(2*R331-Q331-P331) -170733*COS(2*R331+P331) -(1 - 0.002516*L331)*204586*COS(2*R331-Q331) -(1 - 0.002516*L331)*129620*COS(Q331-P331)  + 108743*COS(R331) +(1-0.002516*L331)*104755*COS(Q331+P331) +10321*COS(2*R331-2*S331) +79661*COS(P331-2*S331) -34782*COS(4*R331-P331) -23210*COS(3*P331)  -21636*COS(4*R331-2*P331) +(1 - 0.002516*L331)*24208*COS(2*R331+Q331-P331) +(1 - 0.002516*L331)*30824*COS(2*R331+Q331) -8379*COS(R331-P331) -(1 - 0.002516*L331)*16675*COS(R331+Q331)  -(1 - 0.002516*L331)*12831*COS(2*R331-Q331+P331) -10445*COS(2*R331+2*P331) -11650*COS(4*R331) +14403*COS(2*R331-3*P331) -(1-0.002516*L331)*7003*COS(Q331-2*P331)  + (1 - 0.002516*L331)*10056*COS(2*R331-Q331-2*P331) +6322*COS(R331+P331) -(1 - 0.002516*L331)*(1-0.002516*L331)*9884*COS(2*R331-2*Q331) +(1-0.002516*L331)*5751*COS(Q331+2*P331) - (1-0.002516*L331)^2*4950*COS(2*R331-2*Q331-P331)  +4130*COS(2*R331+P331-2*S331) -(1-0.002516*L331)*3958*COS(4*R331-Q331-P331) +3258*COS(3*R331-P331) +(1 - 0.002516*L331)*2616*COS(2*R331+Q331+P331) -(1 - 0.002516*L331)*1897*COS(4*R331-Q331-2*P331)  -(1-0.002516*L331)^2*2117*COS(2*Q331-P331) +(1-0.002516*L331)^2*2354*COS(2*R331+2*Q331-P331) -1423*COS(4*R331+P331) -1117*COS(4*P331) -(1-0.002516*L331)*1571*COS(4*R331-Q331)  -1739*COS(R331-2*P331) -4421*COS(2*P331-2*S331) +(1-0.002516*L331)^2*1165*COS(2*Q331+P331) +8752*COS(2*R331-P331-2*S331))/1000</f>
        <v>362828.948163907</v>
      </c>
      <c r="AV331" s="54" t="n">
        <f aca="false">ATAN(0.99664719*TAN($A$10*input!$E$2))</f>
        <v>0.871010436227447</v>
      </c>
      <c r="AW331" s="54" t="n">
        <f aca="false">COS(AV331)</f>
        <v>0.644053912545845</v>
      </c>
      <c r="AX331" s="54" t="n">
        <f aca="false">0.99664719*SIN(AV331)</f>
        <v>0.762415269897027</v>
      </c>
      <c r="AY331" s="54" t="n">
        <f aca="false">6378.14/AU331</f>
        <v>0.0175789170965452</v>
      </c>
      <c r="AZ331" s="55" t="n">
        <f aca="false">M331-15*AH331</f>
        <v>-191.959095105055</v>
      </c>
      <c r="BA331" s="56" t="n">
        <f aca="false">COS($A$10*AG331)*SIN($A$10*AZ331)</f>
        <v>0.184051275156912</v>
      </c>
      <c r="BB331" s="56" t="n">
        <f aca="false">COS($A$10*AG331)*COS($A$10*AZ331)-AW331*AY331</f>
        <v>-0.880264906273406</v>
      </c>
      <c r="BC331" s="56" t="n">
        <f aca="false">SIN($A$10*AG331)-AX331*AY331</f>
        <v>-0.472818318981569</v>
      </c>
      <c r="BD331" s="57" t="n">
        <f aca="false">SQRT(BA331^2+BB331^2+BC331^2)</f>
        <v>1.01602083633554</v>
      </c>
      <c r="BE331" s="58" t="n">
        <f aca="false">AU331*BD331</f>
        <v>368641.771360237</v>
      </c>
    </row>
    <row r="332" customFormat="false" ht="15" hidden="false" customHeight="false" outlineLevel="0" collapsed="false">
      <c r="D332" s="41" t="n">
        <f aca="false">K332-INT(275*E332/9)+IF($A$8="common year",2,1)*INT((E332+9)/12)+30</f>
        <v>27</v>
      </c>
      <c r="E332" s="41" t="n">
        <f aca="false">IF(K332&lt;32,1,INT(9*(IF($A$8="common year",2,1)+K332)/275+0.98))</f>
        <v>11</v>
      </c>
      <c r="F332" s="42" t="n">
        <f aca="false">AM332</f>
        <v>-59.372287295713</v>
      </c>
      <c r="G332" s="60" t="n">
        <f aca="false">F332+1.02/(TAN($A$10*(F332+10.3/(F332+5.11)))*60)</f>
        <v>-59.3822762558105</v>
      </c>
      <c r="H332" s="43" t="n">
        <f aca="false">100*(1+COS($A$10*AQ332))/2</f>
        <v>12.8750341793601</v>
      </c>
      <c r="I332" s="43" t="n">
        <f aca="false">IF(AI332&gt;180,AT332-180,AT332+180)</f>
        <v>307.110952775854</v>
      </c>
      <c r="J332" s="61" t="n">
        <f aca="false">$J$2+K331</f>
        <v>2459910.5</v>
      </c>
      <c r="K332" s="21" t="n">
        <v>331</v>
      </c>
      <c r="L332" s="62" t="n">
        <f aca="false">(J332-2451545)/36525</f>
        <v>0.229034907597536</v>
      </c>
      <c r="M332" s="63" t="n">
        <f aca="false">MOD(280.46061837+360.98564736629*(J332-2451545)+0.000387933*L332^2-L332^3/38710000+$B$7,360)</f>
        <v>80.8936814186163</v>
      </c>
      <c r="N332" s="30" t="n">
        <f aca="false">0.606433+1336.855225*L332 - INT(0.606433+1336.855225*L332)</f>
        <v>0.792945929158123</v>
      </c>
      <c r="O332" s="35" t="n">
        <f aca="false">22640*SIN(P332)-4586*SIN(P332-2*R332)+2370*SIN(2*R332)+769*SIN(2*P332)-668*SIN(Q332)-412*SIN(2*S332)-212*SIN(2*P332-2*R332)-206*SIN(P332+Q332-2*R332)+192*SIN(P332+2*R332)-165*SIN(Q332-2*R332)-125*SIN(R332)-110*SIN(P332+Q332)+148*SIN(P332-Q332)-55*SIN(2*S332-2*R332)</f>
        <v>3592.90425604209</v>
      </c>
      <c r="P332" s="32" t="n">
        <f aca="false">2*PI()*(0.374897+1325.55241*L332 - INT(0.374897+1325.55241*L332))</f>
        <v>6.11147050254944</v>
      </c>
      <c r="Q332" s="36" t="n">
        <f aca="false">2*PI()*(0.993133+99.997361*L332 - INT(0.993133+99.997361*L332))</f>
        <v>5.62985553087778</v>
      </c>
      <c r="R332" s="36" t="n">
        <f aca="false">2*PI()*(0.827361+1236.853086*L332 - INT(0.827361+1236.853086*L332))</f>
        <v>0.690479740071623</v>
      </c>
      <c r="S332" s="36" t="n">
        <f aca="false">2*PI()*(0.259086+1342.227825*L332 - INT(0.259086+1342.227825*L332))</f>
        <v>4.24813619094611</v>
      </c>
      <c r="T332" s="36" t="n">
        <f aca="false">S332+(O332+412*SIN(2*S332)+541*SIN(Q332))/206264.8062</f>
        <v>4.26556022552402</v>
      </c>
      <c r="U332" s="36" t="n">
        <f aca="false">S332-2*R332</f>
        <v>2.86717671080287</v>
      </c>
      <c r="V332" s="34" t="n">
        <f aca="false">-526*SIN(U332)+44*SIN(P332+U332)-31*SIN(-P332+U332)-23*SIN(Q332+U332)+11*SIN(-Q332+U332)-25*SIN(-2*P332+S332)+21*SIN(-P332+S332)</f>
        <v>-144.496407697524</v>
      </c>
      <c r="W332" s="36" t="n">
        <f aca="false">2*PI()*(N332+O332/1296000-INT(N332+O332/1296000))</f>
        <v>4.99964510285664</v>
      </c>
      <c r="X332" s="35" t="n">
        <f aca="false">W332*180/PI()</f>
        <v>286.458563456936</v>
      </c>
      <c r="Y332" s="36" t="n">
        <f aca="false">(18520*SIN(T332)+V332)/206264.8062</f>
        <v>-0.0816728714741239</v>
      </c>
      <c r="Z332" s="36" t="n">
        <f aca="false">Y332*180/PI()</f>
        <v>-4.67951083618171</v>
      </c>
      <c r="AA332" s="36" t="n">
        <f aca="false">COS(Y332)*COS(W332)</f>
        <v>0.282377430035962</v>
      </c>
      <c r="AB332" s="36" t="n">
        <f aca="false">COS(Y332)*SIN(W332)</f>
        <v>-0.955828095190878</v>
      </c>
      <c r="AC332" s="36" t="n">
        <f aca="false">SIN(Y332)</f>
        <v>-0.0815821025106768</v>
      </c>
      <c r="AD332" s="36" t="n">
        <f aca="false">COS($A$10*(23.4393-46.815*L332/3600))*AB332-SIN($A$10*(23.4393-46.815*L332/3600))*AC332</f>
        <v>-0.844527218540859</v>
      </c>
      <c r="AE332" s="36" t="n">
        <f aca="false">SIN($A$10*(23.4393-46.815*L332/3600))*AB332+COS($A$10*(23.4393-46.815*L332/3600))*AC332</f>
        <v>-0.455012927453634</v>
      </c>
      <c r="AF332" s="36" t="n">
        <f aca="false">SQRT(1-AE332*AE332)</f>
        <v>0.890484831903427</v>
      </c>
      <c r="AG332" s="35" t="n">
        <f aca="false">ATAN(AE332/AF332)/$A$10</f>
        <v>-27.0657660069383</v>
      </c>
      <c r="AH332" s="36" t="n">
        <f aca="false">IF(24*ATAN(AD332/(AA332+AF332))/PI()&gt;0,24*ATAN(AD332/(AA332+AF332))/PI(),24*ATAN(AD332/(AA332+AF332))/PI()+24)</f>
        <v>19.2325302466276</v>
      </c>
      <c r="AI332" s="63" t="n">
        <f aca="false">IF(M332-15*AH332&gt;0,M332-15*AH332,360+M332-15*AH332)</f>
        <v>152.405727719203</v>
      </c>
      <c r="AJ332" s="32" t="n">
        <f aca="false">0.950724+0.051818*COS(P332)+0.009531*COS(2*R332-P332)+0.007843*COS(2*R332)+0.002824*COS(2*P332)+0.000857*COS(2*R332+P332)+0.000533*COS(2*R332-Q332)*(1-0.002495*(J332-2415020)/36525)+0.000401*COS(2*R332-Q332-P332)*(1-0.002495*(J332-2415020)/36525)+0.00032*COS(P332-Q332)*(1-0.002495*(J332-2415020)/36525)-0.000271*COS(R332)</f>
        <v>1.00599387824711</v>
      </c>
      <c r="AK332" s="36" t="n">
        <f aca="false">ASIN(COS($A$10*$B$5)*COS($A$10*AG332)*COS($A$10*AI332)+SIN($A$10*$B$5)*SIN($A$10*AG332))/$A$10</f>
        <v>-58.8529929012344</v>
      </c>
      <c r="AL332" s="32" t="n">
        <f aca="false">ASIN((0.9983271+0.0016764*COS($A$10*2*$B$5))*COS($A$10*AK332)*SIN($A$10*AJ332))/$A$10</f>
        <v>0.519294394478651</v>
      </c>
      <c r="AM332" s="32" t="n">
        <f aca="false">AK332-AL332</f>
        <v>-59.372287295713</v>
      </c>
      <c r="AN332" s="35" t="n">
        <f aca="false"> MOD(280.4664567 + 360007.6982779*L332/10 + 0.03032028*L332^2/100 + L332^3/49931000,360)</f>
        <v>245.899463553387</v>
      </c>
      <c r="AO332" s="32" t="n">
        <f aca="false"> AN332 + (1.9146 - 0.004817*L332 - 0.000014*L332^2)*SIN(Q332)+ (0.019993 - 0.000101*L332)*SIN(2*Q332)+ 0.00029*SIN(3*Q332)</f>
        <v>244.716830364771</v>
      </c>
      <c r="AP332" s="32" t="n">
        <f aca="false">ACOS(COS(W332-$A$10*AO332)*COS(Y332))/$A$10</f>
        <v>41.9553338806117</v>
      </c>
      <c r="AQ332" s="34" t="n">
        <f aca="false">180 - AP332 -0.1468*(1-0.0549*SIN(Q332))*SIN($A$10*AP332)/(1-0.0167*SIN($A$10*AO332))</f>
        <v>137.944756436686</v>
      </c>
      <c r="AR332" s="64" t="n">
        <f aca="false">SIN($A$10*AI332)</f>
        <v>0.463207441196685</v>
      </c>
      <c r="AS332" s="64" t="n">
        <f aca="false">COS($A$10*AI332)*SIN($A$10*$B$5) - TAN($A$10*AG332)*COS($A$10*$B$5)</f>
        <v>-0.350460251682128</v>
      </c>
      <c r="AT332" s="24" t="n">
        <f aca="false">IF(OR(AND(AR332*AS332&gt;0), AND(AR332&lt;0,AS332&gt;0)), MOD(ATAN2(AS332,AR332)/$A$10+360,360),  ATAN2(AS332,AR332)/$A$10)</f>
        <v>127.110952775854</v>
      </c>
      <c r="AU332" s="39" t="n">
        <f aca="false"> 385000.56 + (-20905355*COS(P332) - 3699111*COS(2*R332-P332) - 2955968*COS(2*R332) - 569925*COS(2*P332) + (1-0.002516*L332)*48888*COS(Q332) - 3149*COS(2*S332)  +246158*COS(2*R332-2*P332) -(1 - 0.002516*L332)*152138*COS(2*R332-Q332-P332) -170733*COS(2*R332+P332) -(1 - 0.002516*L332)*204586*COS(2*R332-Q332) -(1 - 0.002516*L332)*129620*COS(Q332-P332)  + 108743*COS(R332) +(1-0.002516*L332)*104755*COS(Q332+P332) +10321*COS(2*R332-2*S332) +79661*COS(P332-2*S332) -34782*COS(4*R332-P332) -23210*COS(3*P332)  -21636*COS(4*R332-2*P332) +(1 - 0.002516*L332)*24208*COS(2*R332+Q332-P332) +(1 - 0.002516*L332)*30824*COS(2*R332+Q332) -8379*COS(R332-P332) -(1 - 0.002516*L332)*16675*COS(R332+Q332)  -(1 - 0.002516*L332)*12831*COS(2*R332-Q332+P332) -10445*COS(2*R332+2*P332) -11650*COS(4*R332) +14403*COS(2*R332-3*P332) -(1-0.002516*L332)*7003*COS(Q332-2*P332)  + (1 - 0.002516*L332)*10056*COS(2*R332-Q332-2*P332) +6322*COS(R332+P332) -(1 - 0.002516*L332)*(1-0.002516*L332)*9884*COS(2*R332-2*Q332) +(1-0.002516*L332)*5751*COS(Q332+2*P332) - (1-0.002516*L332)^2*4950*COS(2*R332-2*Q332-P332)  +4130*COS(2*R332+P332-2*S332) -(1-0.002516*L332)*3958*COS(4*R332-Q332-P332) +3258*COS(3*R332-P332) +(1 - 0.002516*L332)*2616*COS(2*R332+Q332+P332) -(1 - 0.002516*L332)*1897*COS(4*R332-Q332-2*P332)  -(1-0.002516*L332)^2*2117*COS(2*Q332-P332) +(1-0.002516*L332)^2*2354*COS(2*R332+2*Q332-P332) -1423*COS(4*R332+P332) -1117*COS(4*P332) -(1-0.002516*L332)*1571*COS(4*R332-Q332)  -1739*COS(R332-2*P332) -4421*COS(2*P332-2*S332) +(1-0.002516*L332)^2*1165*COS(2*Q332+P332) +8752*COS(2*R332-P332-2*S332))/1000</f>
        <v>363439.450873429</v>
      </c>
      <c r="AV332" s="54" t="n">
        <f aca="false">ATAN(0.99664719*TAN($A$10*input!$E$2))</f>
        <v>0.871010436227447</v>
      </c>
      <c r="AW332" s="54" t="n">
        <f aca="false">COS(AV332)</f>
        <v>0.644053912545845</v>
      </c>
      <c r="AX332" s="54" t="n">
        <f aca="false">0.99664719*SIN(AV332)</f>
        <v>0.762415269897027</v>
      </c>
      <c r="AY332" s="54" t="n">
        <f aca="false">6378.14/AU332</f>
        <v>0.0175493881709095</v>
      </c>
      <c r="AZ332" s="55" t="n">
        <f aca="false">M332-15*AH332</f>
        <v>-207.594272280797</v>
      </c>
      <c r="BA332" s="56" t="n">
        <f aca="false">COS($A$10*AG332)*SIN($A$10*AZ332)</f>
        <v>0.412479200410447</v>
      </c>
      <c r="BB332" s="56" t="n">
        <f aca="false">COS($A$10*AG332)*COS($A$10*AZ332)-AW332*AY332</f>
        <v>-0.800494835880204</v>
      </c>
      <c r="BC332" s="56" t="n">
        <f aca="false">SIN($A$10*AG332)-AX332*AY332</f>
        <v>-0.468392848972486</v>
      </c>
      <c r="BD332" s="57" t="n">
        <f aca="false">SQRT(BA332^2+BB332^2+BC332^2)</f>
        <v>1.01504824220856</v>
      </c>
      <c r="BE332" s="58" t="n">
        <f aca="false">AU332*BD332</f>
        <v>368908.575758317</v>
      </c>
    </row>
    <row r="333" customFormat="false" ht="15" hidden="false" customHeight="false" outlineLevel="0" collapsed="false">
      <c r="D333" s="41" t="n">
        <f aca="false">K333-INT(275*E333/9)+IF($A$8="common year",2,1)*INT((E333+9)/12)+30</f>
        <v>28</v>
      </c>
      <c r="E333" s="41" t="n">
        <f aca="false">IF(K333&lt;32,1,INT(9*(IF($A$8="common year",2,1)+K333)/275+0.98))</f>
        <v>11</v>
      </c>
      <c r="F333" s="42" t="n">
        <f aca="false">AM333</f>
        <v>-49.3157523382507</v>
      </c>
      <c r="G333" s="60" t="n">
        <f aca="false">F333+1.02/(TAN($A$10*(F333+10.3/(F333+5.11)))*60)</f>
        <v>-49.330246710633</v>
      </c>
      <c r="H333" s="43" t="n">
        <f aca="false">100*(1+COS($A$10*AQ333))/2</f>
        <v>21.8246276461391</v>
      </c>
      <c r="I333" s="43" t="n">
        <f aca="false">IF(AI333&gt;180,AT333-180,AT333+180)</f>
        <v>291.28944875423</v>
      </c>
      <c r="J333" s="61" t="n">
        <f aca="false">$J$2+K332</f>
        <v>2459911.5</v>
      </c>
      <c r="K333" s="21" t="n">
        <v>332</v>
      </c>
      <c r="L333" s="62" t="n">
        <f aca="false">(J333-2451545)/36525</f>
        <v>0.229062286105407</v>
      </c>
      <c r="M333" s="63" t="n">
        <f aca="false">MOD(280.46061837+360.98564736629*(J333-2451545)+0.000387933*L333^2-L333^3/38710000+$B$7,360)</f>
        <v>81.8793287891895</v>
      </c>
      <c r="N333" s="30" t="n">
        <f aca="false">0.606433+1336.855225*L333 - INT(0.606433+1336.855225*L333)</f>
        <v>0.829547030458571</v>
      </c>
      <c r="O333" s="35" t="n">
        <f aca="false">22640*SIN(P333)-4586*SIN(P333-2*R333)+2370*SIN(2*R333)+769*SIN(2*P333)-668*SIN(Q333)-412*SIN(2*S333)-212*SIN(2*P333-2*R333)-206*SIN(P333+Q333-2*R333)+192*SIN(P333+2*R333)-165*SIN(Q333-2*R333)-125*SIN(R333)-110*SIN(P333+Q333)+148*SIN(P333-Q333)-55*SIN(2*S333-2*R333)</f>
        <v>9045.25961692812</v>
      </c>
      <c r="P333" s="32" t="n">
        <f aca="false">2*PI()*(0.374897+1325.55241*L333 - INT(0.374897+1325.55241*L333))</f>
        <v>0.056312339145315</v>
      </c>
      <c r="Q333" s="36" t="n">
        <f aca="false">2*PI()*(0.993133+99.997361*L333 - INT(0.993133+99.997361*L333))</f>
        <v>5.64705750074474</v>
      </c>
      <c r="R333" s="36" t="n">
        <f aca="false">2*PI()*(0.827361+1236.853086*L333 - INT(0.827361+1236.853086*L333))</f>
        <v>0.90324845019029</v>
      </c>
      <c r="S333" s="36" t="n">
        <f aca="false">2*PI()*(0.259086+1342.227825*L333 - INT(0.259086+1342.227825*L333))</f>
        <v>4.47903191028676</v>
      </c>
      <c r="T333" s="36" t="n">
        <f aca="false">S333+(O333+412*SIN(2*S333)+541*SIN(Q333))/206264.8062</f>
        <v>4.52222512828251</v>
      </c>
      <c r="U333" s="36" t="n">
        <f aca="false">S333-2*R333</f>
        <v>2.67253500990618</v>
      </c>
      <c r="V333" s="34" t="n">
        <f aca="false">-526*SIN(U333)+44*SIN(P333+U333)-31*SIN(-P333+U333)-23*SIN(Q333+U333)+11*SIN(-Q333+U333)-25*SIN(-2*P333+S333)+21*SIN(-P333+S333)</f>
        <v>-254.661506021926</v>
      </c>
      <c r="W333" s="36" t="n">
        <f aca="false">2*PI()*(N333+O333/1296000-INT(N333+O333/1296000))</f>
        <v>5.25605036950649</v>
      </c>
      <c r="X333" s="35" t="n">
        <f aca="false">W333*180/PI()</f>
        <v>301.149503080899</v>
      </c>
      <c r="Y333" s="36" t="n">
        <f aca="false">(18520*SIN(T333)+V333)/206264.8062</f>
        <v>-0.0894035533058136</v>
      </c>
      <c r="Z333" s="36" t="n">
        <f aca="false">Y333*180/PI()</f>
        <v>-5.122446277896</v>
      </c>
      <c r="AA333" s="36" t="n">
        <f aca="false">COS(Y333)*COS(W333)</f>
        <v>0.515207040179563</v>
      </c>
      <c r="AB333" s="36" t="n">
        <f aca="false">COS(Y333)*SIN(W333)</f>
        <v>-0.852402477538838</v>
      </c>
      <c r="AC333" s="36" t="n">
        <f aca="false">SIN(Y333)</f>
        <v>-0.089284500530975</v>
      </c>
      <c r="AD333" s="36" t="n">
        <f aca="false">COS($A$10*(23.4393-46.815*L333/3600))*AB333-SIN($A$10*(23.4393-46.815*L333/3600))*AC333</f>
        <v>-0.74657046839622</v>
      </c>
      <c r="AE333" s="36" t="n">
        <f aca="false">SIN($A$10*(23.4393-46.815*L333/3600))*AB333+COS($A$10*(23.4393-46.815*L333/3600))*AC333</f>
        <v>-0.420944463638688</v>
      </c>
      <c r="AF333" s="36" t="n">
        <f aca="false">SQRT(1-AE333*AE333)</f>
        <v>0.907086411832929</v>
      </c>
      <c r="AG333" s="35" t="n">
        <f aca="false">ATAN(AE333/AF333)/$A$10</f>
        <v>-24.8942297931392</v>
      </c>
      <c r="AH333" s="36" t="n">
        <f aca="false">IF(24*ATAN(AD333/(AA333+AF333))/PI()&gt;0,24*ATAN(AD333/(AA333+AF333))/PI(),24*ATAN(AD333/(AA333+AF333))/PI()+24)</f>
        <v>20.3072994978609</v>
      </c>
      <c r="AI333" s="63" t="n">
        <f aca="false">IF(M333-15*AH333&gt;0,M333-15*AH333,360+M333-15*AH333)</f>
        <v>137.269836321276</v>
      </c>
      <c r="AJ333" s="32" t="n">
        <f aca="false">0.950724+0.051818*COS(P333)+0.009531*COS(2*R333-P333)+0.007843*COS(2*R333)+0.002824*COS(2*P333)+0.000857*COS(2*R333+P333)+0.000533*COS(2*R333-Q333)*(1-0.002495*(J333-2415020)/36525)+0.000401*COS(2*R333-Q333-P333)*(1-0.002495*(J333-2415020)/36525)+0.00032*COS(P333-Q333)*(1-0.002495*(J333-2415020)/36525)-0.000271*COS(R333)</f>
        <v>1.00086708403184</v>
      </c>
      <c r="AK333" s="36" t="n">
        <f aca="false">ASIN(COS($A$10*$B$5)*COS($A$10*AG333)*COS($A$10*AI333)+SIN($A$10*$B$5)*SIN($A$10*AG333))/$A$10</f>
        <v>-48.6559175559866</v>
      </c>
      <c r="AL333" s="32" t="n">
        <f aca="false">ASIN((0.9983271+0.0016764*COS($A$10*2*$B$5))*COS($A$10*AK333)*SIN($A$10*AJ333))/$A$10</f>
        <v>0.65983478226413</v>
      </c>
      <c r="AM333" s="32" t="n">
        <f aca="false">AK333-AL333</f>
        <v>-49.3157523382507</v>
      </c>
      <c r="AN333" s="35" t="n">
        <f aca="false"> MOD(280.4664567 + 360007.6982779*L333/10 + 0.03032028*L333^2/100 + L333^3/49931000,360)</f>
        <v>246.885110917294</v>
      </c>
      <c r="AO333" s="32" t="n">
        <f aca="false"> AN333 + (1.9146 - 0.004817*L333 - 0.000014*L333^2)*SIN(Q333)+ (0.019993 - 0.000101*L333)*SIN(2*Q333)+ 0.00029*SIN(3*Q333)</f>
        <v>245.728971363336</v>
      </c>
      <c r="AP333" s="32" t="n">
        <f aca="false">ACOS(COS(W333-$A$10*AO333)*COS(Y333))/$A$10</f>
        <v>55.5781207531115</v>
      </c>
      <c r="AQ333" s="34" t="n">
        <f aca="false">180 - AP333 -0.1468*(1-0.0549*SIN(Q333))*SIN($A$10*AP333)/(1-0.0167*SIN($A$10*AO333))</f>
        <v>124.298709838876</v>
      </c>
      <c r="AR333" s="64" t="n">
        <f aca="false">SIN($A$10*AI333)</f>
        <v>0.678546475709107</v>
      </c>
      <c r="AS333" s="64" t="n">
        <f aca="false">COS($A$10*AI333)*SIN($A$10*$B$5) - TAN($A$10*AG333)*COS($A$10*$B$5)</f>
        <v>-0.264410274631928</v>
      </c>
      <c r="AT333" s="24" t="n">
        <f aca="false">IF(OR(AND(AR333*AS333&gt;0), AND(AR333&lt;0,AS333&gt;0)), MOD(ATAN2(AS333,AR333)/$A$10+360,360),  ATAN2(AS333,AR333)/$A$10)</f>
        <v>111.28944875423</v>
      </c>
      <c r="AU333" s="39" t="n">
        <f aca="false"> 385000.56 + (-20905355*COS(P333) - 3699111*COS(2*R333-P333) - 2955968*COS(2*R333) - 569925*COS(2*P333) + (1-0.002516*L333)*48888*COS(Q333) - 3149*COS(2*S333)  +246158*COS(2*R333-2*P333) -(1 - 0.002516*L333)*152138*COS(2*R333-Q333-P333) -170733*COS(2*R333+P333) -(1 - 0.002516*L333)*204586*COS(2*R333-Q333) -(1 - 0.002516*L333)*129620*COS(Q333-P333)  + 108743*COS(R333) +(1-0.002516*L333)*104755*COS(Q333+P333) +10321*COS(2*R333-2*S333) +79661*COS(P333-2*S333) -34782*COS(4*R333-P333) -23210*COS(3*P333)  -21636*COS(4*R333-2*P333) +(1 - 0.002516*L333)*24208*COS(2*R333+Q333-P333) +(1 - 0.002516*L333)*30824*COS(2*R333+Q333) -8379*COS(R333-P333) -(1 - 0.002516*L333)*16675*COS(R333+Q333)  -(1 - 0.002516*L333)*12831*COS(2*R333-Q333+P333) -10445*COS(2*R333+2*P333) -11650*COS(4*R333) +14403*COS(2*R333-3*P333) -(1-0.002516*L333)*7003*COS(Q333-2*P333)  + (1 - 0.002516*L333)*10056*COS(2*R333-Q333-2*P333) +6322*COS(R333+P333) -(1 - 0.002516*L333)*(1-0.002516*L333)*9884*COS(2*R333-2*Q333) +(1-0.002516*L333)*5751*COS(Q333+2*P333) - (1-0.002516*L333)^2*4950*COS(2*R333-2*Q333-P333)  +4130*COS(2*R333+P333-2*S333) -(1-0.002516*L333)*3958*COS(4*R333-Q333-P333) +3258*COS(3*R333-P333) +(1 - 0.002516*L333)*2616*COS(2*R333+Q333+P333) -(1 - 0.002516*L333)*1897*COS(4*R333-Q333-2*P333)  -(1-0.002516*L333)^2*2117*COS(2*Q333-P333) +(1-0.002516*L333)^2*2354*COS(2*R333+2*Q333-P333) -1423*COS(4*R333+P333) -1117*COS(4*P333) -(1-0.002516*L333)*1571*COS(4*R333-Q333)  -1739*COS(R333-2*P333) -4421*COS(2*P333-2*S333) +(1-0.002516*L333)^2*1165*COS(2*Q333+P333) +8752*COS(2*R333-P333-2*S333))/1000</f>
        <v>365312.714327888</v>
      </c>
      <c r="AV333" s="54" t="n">
        <f aca="false">ATAN(0.99664719*TAN($A$10*input!$E$2))</f>
        <v>0.871010436227447</v>
      </c>
      <c r="AW333" s="54" t="n">
        <f aca="false">COS(AV333)</f>
        <v>0.644053912545845</v>
      </c>
      <c r="AX333" s="54" t="n">
        <f aca="false">0.99664719*SIN(AV333)</f>
        <v>0.762415269897027</v>
      </c>
      <c r="AY333" s="54" t="n">
        <f aca="false">6378.14/AU333</f>
        <v>0.0174593977976777</v>
      </c>
      <c r="AZ333" s="55" t="n">
        <f aca="false">M333-15*AH333</f>
        <v>-222.730163678724</v>
      </c>
      <c r="BA333" s="56" t="n">
        <f aca="false">COS($A$10*AG333)*SIN($A$10*AZ333)</f>
        <v>0.615500287912854</v>
      </c>
      <c r="BB333" s="56" t="n">
        <f aca="false">COS($A$10*AG333)*COS($A$10*AZ333)-AW333*AY333</f>
        <v>-0.677551895413882</v>
      </c>
      <c r="BC333" s="56" t="n">
        <f aca="false">SIN($A$10*AG333)-AX333*AY333</f>
        <v>-0.434255775122844</v>
      </c>
      <c r="BD333" s="57" t="n">
        <f aca="false">SQRT(BA333^2+BB333^2+BC333^2)</f>
        <v>1.01316102058226</v>
      </c>
      <c r="BE333" s="58" t="n">
        <f aca="false">AU333*BD333</f>
        <v>370120.60248012</v>
      </c>
    </row>
    <row r="334" customFormat="false" ht="15" hidden="false" customHeight="false" outlineLevel="0" collapsed="false">
      <c r="D334" s="41" t="n">
        <f aca="false">K334-INT(275*E334/9)+IF($A$8="common year",2,1)*INT((E334+9)/12)+30</f>
        <v>29</v>
      </c>
      <c r="E334" s="41" t="n">
        <f aca="false">IF(K334&lt;32,1,INT(9*(IF($A$8="common year",2,1)+K334)/275+0.98))</f>
        <v>11</v>
      </c>
      <c r="F334" s="42" t="n">
        <f aca="false">AM334</f>
        <v>-37.9275936131212</v>
      </c>
      <c r="G334" s="60" t="n">
        <f aca="false">F334+1.02/(TAN($A$10*(F334+10.3/(F334+5.11)))*60)</f>
        <v>-37.9491646306394</v>
      </c>
      <c r="H334" s="43" t="n">
        <f aca="false">100*(1+COS($A$10*AQ334))/2</f>
        <v>32.1849695137044</v>
      </c>
      <c r="I334" s="43" t="n">
        <f aca="false">IF(AI334&gt;180,AT334-180,AT334+180)</f>
        <v>281.467363057832</v>
      </c>
      <c r="J334" s="61" t="n">
        <f aca="false">$J$2+K333</f>
        <v>2459912.5</v>
      </c>
      <c r="K334" s="21" t="n">
        <v>333</v>
      </c>
      <c r="L334" s="62" t="n">
        <f aca="false">(J334-2451545)/36525</f>
        <v>0.229089664613279</v>
      </c>
      <c r="M334" s="63" t="n">
        <f aca="false">MOD(280.46061837+360.98564736629*(J334-2451545)+0.000387933*L334^2-L334^3/38710000+$B$7,360)</f>
        <v>82.8649761606939</v>
      </c>
      <c r="N334" s="30" t="n">
        <f aca="false">0.606433+1336.855225*L334 - INT(0.606433+1336.855225*L334)</f>
        <v>0.866148131759019</v>
      </c>
      <c r="O334" s="35" t="n">
        <f aca="false">22640*SIN(P334)-4586*SIN(P334-2*R334)+2370*SIN(2*R334)+769*SIN(2*P334)-668*SIN(Q334)-412*SIN(2*S334)-212*SIN(2*P334-2*R334)-206*SIN(P334+Q334-2*R334)+192*SIN(P334+2*R334)-165*SIN(Q334-2*R334)-125*SIN(R334)-110*SIN(P334+Q334)+148*SIN(P334-Q334)-55*SIN(2*S334-2*R334)</f>
        <v>13764.8760561247</v>
      </c>
      <c r="P334" s="32" t="n">
        <f aca="false">2*PI()*(0.374897+1325.55241*L334 - INT(0.374897+1325.55241*L334))</f>
        <v>0.284339482921133</v>
      </c>
      <c r="Q334" s="36" t="n">
        <f aca="false">2*PI()*(0.993133+99.997361*L334 - INT(0.993133+99.997361*L334))</f>
        <v>5.66425947061175</v>
      </c>
      <c r="R334" s="36" t="n">
        <f aca="false">2*PI()*(0.827361+1236.853086*L334 - INT(0.827361+1236.853086*L334))</f>
        <v>1.11601716030931</v>
      </c>
      <c r="S334" s="36" t="n">
        <f aca="false">2*PI()*(0.259086+1342.227825*L334 - INT(0.259086+1342.227825*L334))</f>
        <v>4.70992762962777</v>
      </c>
      <c r="T334" s="36" t="n">
        <f aca="false">S334+(O334+412*SIN(2*S334)+541*SIN(Q334))/206264.8062</f>
        <v>4.77514979511117</v>
      </c>
      <c r="U334" s="36" t="n">
        <f aca="false">S334-2*R334</f>
        <v>2.47789330900914</v>
      </c>
      <c r="V334" s="34" t="n">
        <f aca="false">-526*SIN(U334)+44*SIN(P334+U334)-31*SIN(-P334+U334)-23*SIN(Q334+U334)+11*SIN(-Q334+U334)-25*SIN(-2*P334+S334)+21*SIN(-P334+S334)</f>
        <v>-353.589950806901</v>
      </c>
      <c r="W334" s="36" t="n">
        <f aca="false">2*PI()*(N334+O334/1296000-INT(N334+O334/1296000))</f>
        <v>5.50890321761718</v>
      </c>
      <c r="X334" s="35" t="n">
        <f aca="false">W334*180/PI()</f>
        <v>315.636904115504</v>
      </c>
      <c r="Y334" s="36" t="n">
        <f aca="false">(18520*SIN(T334)+V334)/206264.8062</f>
        <v>-0.0913249713840979</v>
      </c>
      <c r="Z334" s="36" t="n">
        <f aca="false">Y334*180/PI()</f>
        <v>-5.23253542446183</v>
      </c>
      <c r="AA334" s="36" t="n">
        <f aca="false">COS(Y334)*COS(W334)</f>
        <v>0.711943935702567</v>
      </c>
      <c r="AB334" s="36" t="n">
        <f aca="false">COS(Y334)*SIN(W334)</f>
        <v>-0.696289266642362</v>
      </c>
      <c r="AC334" s="36" t="n">
        <f aca="false">SIN(Y334)</f>
        <v>-0.0911980787899651</v>
      </c>
      <c r="AD334" s="36" t="n">
        <f aca="false">COS($A$10*(23.4393-46.815*L334/3600))*AB334-SIN($A$10*(23.4393-46.815*L334/3600))*AC334</f>
        <v>-0.602575094659207</v>
      </c>
      <c r="AE334" s="36" t="n">
        <f aca="false">SIN($A$10*(23.4393-46.815*L334/3600))*AB334+COS($A$10*(23.4393-46.815*L334/3600))*AC334</f>
        <v>-0.360609328377382</v>
      </c>
      <c r="AF334" s="36" t="n">
        <f aca="false">SQRT(1-AE334*AE334)</f>
        <v>0.932716951860109</v>
      </c>
      <c r="AG334" s="35" t="n">
        <f aca="false">ATAN(AE334/AF334)/$A$10</f>
        <v>-21.1376216749966</v>
      </c>
      <c r="AH334" s="36" t="n">
        <f aca="false">IF(24*ATAN(AD334/(AA334+AF334))/PI()&gt;0,24*ATAN(AD334/(AA334+AF334))/PI(),24*ATAN(AD334/(AA334+AF334))/PI()+24)</f>
        <v>21.3170727989176</v>
      </c>
      <c r="AI334" s="63" t="n">
        <f aca="false">IF(M334-15*AH334&gt;0,M334-15*AH334,360+M334-15*AH334)</f>
        <v>123.10888417693</v>
      </c>
      <c r="AJ334" s="32" t="n">
        <f aca="false">0.950724+0.051818*COS(P334)+0.009531*COS(2*R334-P334)+0.007843*COS(2*R334)+0.002824*COS(2*P334)+0.000857*COS(2*R334+P334)+0.000533*COS(2*R334-Q334)*(1-0.002495*(J334-2415020)/36525)+0.000401*COS(2*R334-Q334-P334)*(1-0.002495*(J334-2415020)/36525)+0.00032*COS(P334-Q334)*(1-0.002495*(J334-2415020)/36525)-0.000271*COS(R334)</f>
        <v>0.993055772661534</v>
      </c>
      <c r="AK334" s="36" t="n">
        <f aca="false">ASIN(COS($A$10*$B$5)*COS($A$10*AG334)*COS($A$10*AI334)+SIN($A$10*$B$5)*SIN($A$10*AG334))/$A$10</f>
        <v>-37.1375099468271</v>
      </c>
      <c r="AL334" s="32" t="n">
        <f aca="false">ASIN((0.9983271+0.0016764*COS($A$10*2*$B$5))*COS($A$10*AK334)*SIN($A$10*AJ334))/$A$10</f>
        <v>0.790083666294084</v>
      </c>
      <c r="AM334" s="32" t="n">
        <f aca="false">AK334-AL334</f>
        <v>-37.9275936131212</v>
      </c>
      <c r="AN334" s="35" t="n">
        <f aca="false"> MOD(280.4664567 + 360007.6982779*L334/10 + 0.03032028*L334^2/100 + L334^3/49931000,360)</f>
        <v>247.870758281202</v>
      </c>
      <c r="AO334" s="32" t="n">
        <f aca="false"> AN334 + (1.9146 - 0.004817*L334 - 0.000014*L334^2)*SIN(Q334)+ (0.019993 - 0.000101*L334)*SIN(2*Q334)+ 0.00029*SIN(3*Q334)</f>
        <v>246.741472049499</v>
      </c>
      <c r="AP334" s="32" t="n">
        <f aca="false">ACOS(COS(W334-$A$10*AO334)*COS(Y334))/$A$10</f>
        <v>68.9875569663307</v>
      </c>
      <c r="AQ334" s="34" t="n">
        <f aca="false">180 - AP334 -0.1468*(1-0.0549*SIN(Q334))*SIN($A$10*AP334)/(1-0.0167*SIN($A$10*AO334))</f>
        <v>110.873176815692</v>
      </c>
      <c r="AR334" s="64" t="n">
        <f aca="false">SIN($A$10*AI334)</f>
        <v>0.837634028996486</v>
      </c>
      <c r="AS334" s="64" t="n">
        <f aca="false">COS($A$10*AI334)*SIN($A$10*$B$5) - TAN($A$10*AG334)*COS($A$10*$B$5)</f>
        <v>-0.169921741979687</v>
      </c>
      <c r="AT334" s="24" t="n">
        <f aca="false">IF(OR(AND(AR334*AS334&gt;0), AND(AR334&lt;0,AS334&gt;0)), MOD(ATAN2(AS334,AR334)/$A$10+360,360),  ATAN2(AS334,AR334)/$A$10)</f>
        <v>101.467363057832</v>
      </c>
      <c r="AU334" s="39" t="n">
        <f aca="false"> 385000.56 + (-20905355*COS(P334) - 3699111*COS(2*R334-P334) - 2955968*COS(2*R334) - 569925*COS(2*P334) + (1-0.002516*L334)*48888*COS(Q334) - 3149*COS(2*S334)  +246158*COS(2*R334-2*P334) -(1 - 0.002516*L334)*152138*COS(2*R334-Q334-P334) -170733*COS(2*R334+P334) -(1 - 0.002516*L334)*204586*COS(2*R334-Q334) -(1 - 0.002516*L334)*129620*COS(Q334-P334)  + 108743*COS(R334) +(1-0.002516*L334)*104755*COS(Q334+P334) +10321*COS(2*R334-2*S334) +79661*COS(P334-2*S334) -34782*COS(4*R334-P334) -23210*COS(3*P334)  -21636*COS(4*R334-2*P334) +(1 - 0.002516*L334)*24208*COS(2*R334+Q334-P334) +(1 - 0.002516*L334)*30824*COS(2*R334+Q334) -8379*COS(R334-P334) -(1 - 0.002516*L334)*16675*COS(R334+Q334)  -(1 - 0.002516*L334)*12831*COS(2*R334-Q334+P334) -10445*COS(2*R334+2*P334) -11650*COS(4*R334) +14403*COS(2*R334-3*P334) -(1-0.002516*L334)*7003*COS(Q334-2*P334)  + (1 - 0.002516*L334)*10056*COS(2*R334-Q334-2*P334) +6322*COS(R334+P334) -(1 - 0.002516*L334)*(1-0.002516*L334)*9884*COS(2*R334-2*Q334) +(1-0.002516*L334)*5751*COS(Q334+2*P334) - (1-0.002516*L334)^2*4950*COS(2*R334-2*Q334-P334)  +4130*COS(2*R334+P334-2*S334) -(1-0.002516*L334)*3958*COS(4*R334-Q334-P334) +3258*COS(3*R334-P334) +(1 - 0.002516*L334)*2616*COS(2*R334+Q334+P334) -(1 - 0.002516*L334)*1897*COS(4*R334-Q334-2*P334)  -(1-0.002516*L334)^2*2117*COS(2*Q334-P334) +(1-0.002516*L334)^2*2354*COS(2*R334+2*Q334-P334) -1423*COS(4*R334+P334) -1117*COS(4*P334) -(1-0.002516*L334)*1571*COS(4*R334-Q334)  -1739*COS(R334-2*P334) -4421*COS(2*P334-2*S334) +(1-0.002516*L334)^2*1165*COS(2*Q334+P334) +8752*COS(2*R334-P334-2*S334))/1000</f>
        <v>368158.289395997</v>
      </c>
      <c r="AV334" s="54" t="n">
        <f aca="false">ATAN(0.99664719*TAN($A$10*input!$E$2))</f>
        <v>0.871010436227447</v>
      </c>
      <c r="AW334" s="54" t="n">
        <f aca="false">COS(AV334)</f>
        <v>0.644053912545845</v>
      </c>
      <c r="AX334" s="54" t="n">
        <f aca="false">0.99664719*SIN(AV334)</f>
        <v>0.762415269897027</v>
      </c>
      <c r="AY334" s="54" t="n">
        <f aca="false">6378.14/AU334</f>
        <v>0.0173244503348384</v>
      </c>
      <c r="AZ334" s="55" t="n">
        <f aca="false">M334-15*AH334</f>
        <v>-236.89111582307</v>
      </c>
      <c r="BA334" s="56" t="n">
        <f aca="false">COS($A$10*AG334)*SIN($A$10*AZ334)</f>
        <v>0.781275458299905</v>
      </c>
      <c r="BB334" s="56" t="n">
        <f aca="false">COS($A$10*AG334)*COS($A$10*AZ334)-AW334*AY334</f>
        <v>-0.520637585745716</v>
      </c>
      <c r="BC334" s="56" t="n">
        <f aca="false">SIN($A$10*AG334)-AX334*AY334</f>
        <v>-0.373817753855235</v>
      </c>
      <c r="BD334" s="57" t="n">
        <f aca="false">SQRT(BA334^2+BB334^2+BC334^2)</f>
        <v>1.01054171142523</v>
      </c>
      <c r="BE334" s="58" t="n">
        <f aca="false">AU334*BD334</f>
        <v>372039.307841614</v>
      </c>
    </row>
    <row r="335" customFormat="false" ht="15" hidden="false" customHeight="false" outlineLevel="0" collapsed="false">
      <c r="D335" s="41" t="n">
        <f aca="false">K335-INT(275*E335/9)+IF($A$8="common year",2,1)*INT((E335+9)/12)+30</f>
        <v>30</v>
      </c>
      <c r="E335" s="41" t="n">
        <f aca="false">IF(K335&lt;32,1,INT(9*(IF($A$8="common year",2,1)+K335)/275+0.98))</f>
        <v>11</v>
      </c>
      <c r="F335" s="42" t="n">
        <f aca="false">AM335</f>
        <v>-26.0835769387234</v>
      </c>
      <c r="G335" s="60" t="n">
        <f aca="false">F335+1.02/(TAN($A$10*(F335+10.3/(F335+5.11)))*60)</f>
        <v>-26.1175626721542</v>
      </c>
      <c r="H335" s="43" t="n">
        <f aca="false">100*(1+COS($A$10*AQ335))/2</f>
        <v>43.2816034636522</v>
      </c>
      <c r="I335" s="43" t="n">
        <f aca="false">IF(AI335&gt;180,AT335-180,AT335+180)</f>
        <v>274.621834579955</v>
      </c>
      <c r="J335" s="61" t="n">
        <f aca="false">$J$2+K334</f>
        <v>2459913.5</v>
      </c>
      <c r="K335" s="21" t="n">
        <v>334</v>
      </c>
      <c r="L335" s="62" t="n">
        <f aca="false">(J335-2451545)/36525</f>
        <v>0.22911704312115</v>
      </c>
      <c r="M335" s="63" t="n">
        <f aca="false">MOD(280.46061837+360.98564736629*(J335-2451545)+0.000387933*L335^2-L335^3/38710000+$B$7,360)</f>
        <v>83.8506235317327</v>
      </c>
      <c r="N335" s="30" t="n">
        <f aca="false">0.606433+1336.855225*L335 - INT(0.606433+1336.855225*L335)</f>
        <v>0.902749233059524</v>
      </c>
      <c r="O335" s="35" t="n">
        <f aca="false">22640*SIN(P335)-4586*SIN(P335-2*R335)+2370*SIN(2*R335)+769*SIN(2*P335)-668*SIN(Q335)-412*SIN(2*S335)-212*SIN(2*P335-2*R335)-206*SIN(P335+Q335-2*R335)+192*SIN(P335+2*R335)-165*SIN(Q335-2*R335)-125*SIN(R335)-110*SIN(P335+Q335)+148*SIN(P335-Q335)-55*SIN(2*S335-2*R335)</f>
        <v>17511.8102806299</v>
      </c>
      <c r="P335" s="32" t="n">
        <f aca="false">2*PI()*(0.374897+1325.55241*L335 - INT(0.374897+1325.55241*L335))</f>
        <v>0.51236662669695</v>
      </c>
      <c r="Q335" s="36" t="n">
        <f aca="false">2*PI()*(0.993133+99.997361*L335 - INT(0.993133+99.997361*L335))</f>
        <v>5.68146144047874</v>
      </c>
      <c r="R335" s="36" t="n">
        <f aca="false">2*PI()*(0.827361+1236.853086*L335 - INT(0.827361+1236.853086*L335))</f>
        <v>1.32878587042834</v>
      </c>
      <c r="S335" s="36" t="n">
        <f aca="false">2*PI()*(0.259086+1342.227825*L335 - INT(0.259086+1342.227825*L335))</f>
        <v>4.94082334896877</v>
      </c>
      <c r="T335" s="36" t="n">
        <f aca="false">S335+(O335+412*SIN(2*S335)+541*SIN(Q335))/206264.8062</f>
        <v>5.02335715590851</v>
      </c>
      <c r="U335" s="36" t="n">
        <f aca="false">S335-2*R335</f>
        <v>2.28325160811209</v>
      </c>
      <c r="V335" s="34" t="n">
        <f aca="false">-526*SIN(U335)+44*SIN(P335+U335)-31*SIN(-P335+U335)-23*SIN(Q335+U335)+11*SIN(-Q335+U335)-25*SIN(-2*P335+S335)+21*SIN(-P335+S335)</f>
        <v>-436.25833086056</v>
      </c>
      <c r="W335" s="36" t="n">
        <f aca="false">2*PI()*(N335+O335/1296000-INT(N335+O335/1296000))</f>
        <v>5.75704036927768</v>
      </c>
      <c r="X335" s="35" t="n">
        <f aca="false">W335*180/PI()</f>
        <v>329.854115646048</v>
      </c>
      <c r="Y335" s="36" t="n">
        <f aca="false">(18520*SIN(T335)+V335)/206264.8062</f>
        <v>-0.0875961257034986</v>
      </c>
      <c r="Z335" s="36" t="n">
        <f aca="false">Y335*180/PI()</f>
        <v>-5.0188883045079</v>
      </c>
      <c r="AA335" s="36" t="n">
        <f aca="false">COS(Y335)*COS(W335)</f>
        <v>0.861433991005146</v>
      </c>
      <c r="AB335" s="36" t="n">
        <f aca="false">COS(Y335)*SIN(W335)</f>
        <v>-0.50027792598443</v>
      </c>
      <c r="AC335" s="36" t="n">
        <f aca="false">SIN(Y335)</f>
        <v>-0.0874841466419085</v>
      </c>
      <c r="AD335" s="36" t="n">
        <f aca="false">COS($A$10*(23.4393-46.815*L335/3600))*AB335-SIN($A$10*(23.4393-46.815*L335/3600))*AC335</f>
        <v>-0.424211306412412</v>
      </c>
      <c r="AE335" s="36" t="n">
        <f aca="false">SIN($A$10*(23.4393-46.815*L335/3600))*AB335+COS($A$10*(23.4393-46.815*L335/3600))*AC335</f>
        <v>-0.279242272324268</v>
      </c>
      <c r="AF335" s="36" t="n">
        <f aca="false">SQRT(1-AE335*AE335)</f>
        <v>0.960220679504029</v>
      </c>
      <c r="AG335" s="35" t="n">
        <f aca="false">ATAN(AE335/AF335)/$A$10</f>
        <v>-16.2149863685141</v>
      </c>
      <c r="AH335" s="36" t="n">
        <f aca="false">IF(24*ATAN(AD335/(AA335+AF335))/PI()&gt;0,24*ATAN(AD335/(AA335+AF335))/PI(),24*ATAN(AD335/(AA335+AF335))/PI()+24)</f>
        <v>22.2521439379834</v>
      </c>
      <c r="AI335" s="63" t="n">
        <f aca="false">IF(M335-15*AH335&gt;0,M335-15*AH335,360+M335-15*AH335)</f>
        <v>110.068464461982</v>
      </c>
      <c r="AJ335" s="32" t="n">
        <f aca="false">0.950724+0.051818*COS(P335)+0.009531*COS(2*R335-P335)+0.007843*COS(2*R335)+0.002824*COS(2*P335)+0.000857*COS(2*R335+P335)+0.000533*COS(2*R335-Q335)*(1-0.002495*(J335-2415020)/36525)+0.000401*COS(2*R335-Q335-P335)*(1-0.002495*(J335-2415020)/36525)+0.00032*COS(P335-Q335)*(1-0.002495*(J335-2415020)/36525)-0.000271*COS(R335)</f>
        <v>0.983556174037906</v>
      </c>
      <c r="AK335" s="36" t="n">
        <f aca="false">ASIN(COS($A$10*$B$5)*COS($A$10*AG335)*COS($A$10*AI335)+SIN($A$10*$B$5)*SIN($A$10*AG335))/$A$10</f>
        <v>-25.1953507010146</v>
      </c>
      <c r="AL335" s="32" t="n">
        <f aca="false">ASIN((0.9983271+0.0016764*COS($A$10*2*$B$5))*COS($A$10*AK335)*SIN($A$10*AJ335))/$A$10</f>
        <v>0.888226237708821</v>
      </c>
      <c r="AM335" s="32" t="n">
        <f aca="false">AK335-AL335</f>
        <v>-26.0835769387234</v>
      </c>
      <c r="AN335" s="35" t="n">
        <f aca="false"> MOD(280.4664567 + 360007.6982779*L335/10 + 0.03032028*L335^2/100 + L335^3/49931000,360)</f>
        <v>248.856405645109</v>
      </c>
      <c r="AO335" s="32" t="n">
        <f aca="false"> AN335 + (1.9146 - 0.004817*L335 - 0.000014*L335^2)*SIN(Q335)+ (0.019993 - 0.000101*L335)*SIN(2*Q335)+ 0.00029*SIN(3*Q335)</f>
        <v>247.754324298799</v>
      </c>
      <c r="AP335" s="32" t="n">
        <f aca="false">ACOS(COS(W335-$A$10*AO335)*COS(Y335))/$A$10</f>
        <v>82.1302737506408</v>
      </c>
      <c r="AQ335" s="34" t="n">
        <f aca="false">180 - AP335 -0.1468*(1-0.0549*SIN(Q335))*SIN($A$10*AP335)/(1-0.0167*SIN($A$10*AO335))</f>
        <v>97.7220719838733</v>
      </c>
      <c r="AR335" s="64" t="n">
        <f aca="false">SIN($A$10*AI335)</f>
        <v>0.939283259782877</v>
      </c>
      <c r="AS335" s="64" t="n">
        <f aca="false">COS($A$10*AI335)*SIN($A$10*$B$5) - TAN($A$10*AG335)*COS($A$10*$B$5)</f>
        <v>-0.0759332119780863</v>
      </c>
      <c r="AT335" s="24" t="n">
        <f aca="false">IF(OR(AND(AR335*AS335&gt;0), AND(AR335&lt;0,AS335&gt;0)), MOD(ATAN2(AS335,AR335)/$A$10+360,360),  ATAN2(AS335,AR335)/$A$10)</f>
        <v>94.6218345799547</v>
      </c>
      <c r="AU335" s="39" t="n">
        <f aca="false"> 385000.56 + (-20905355*COS(P335) - 3699111*COS(2*R335-P335) - 2955968*COS(2*R335) - 569925*COS(2*P335) + (1-0.002516*L335)*48888*COS(Q335) - 3149*COS(2*S335)  +246158*COS(2*R335-2*P335) -(1 - 0.002516*L335)*152138*COS(2*R335-Q335-P335) -170733*COS(2*R335+P335) -(1 - 0.002516*L335)*204586*COS(2*R335-Q335) -(1 - 0.002516*L335)*129620*COS(Q335-P335)  + 108743*COS(R335) +(1-0.002516*L335)*104755*COS(Q335+P335) +10321*COS(2*R335-2*S335) +79661*COS(P335-2*S335) -34782*COS(4*R335-P335) -23210*COS(3*P335)  -21636*COS(4*R335-2*P335) +(1 - 0.002516*L335)*24208*COS(2*R335+Q335-P335) +(1 - 0.002516*L335)*30824*COS(2*R335+Q335) -8379*COS(R335-P335) -(1 - 0.002516*L335)*16675*COS(R335+Q335)  -(1 - 0.002516*L335)*12831*COS(2*R335-Q335+P335) -10445*COS(2*R335+2*P335) -11650*COS(4*R335) +14403*COS(2*R335-3*P335) -(1-0.002516*L335)*7003*COS(Q335-2*P335)  + (1 - 0.002516*L335)*10056*COS(2*R335-Q335-2*P335) +6322*COS(R335+P335) -(1 - 0.002516*L335)*(1-0.002516*L335)*9884*COS(2*R335-2*Q335) +(1-0.002516*L335)*5751*COS(Q335+2*P335) - (1-0.002516*L335)^2*4950*COS(2*R335-2*Q335-P335)  +4130*COS(2*R335+P335-2*S335) -(1-0.002516*L335)*3958*COS(4*R335-Q335-P335) +3258*COS(3*R335-P335) +(1 - 0.002516*L335)*2616*COS(2*R335+Q335+P335) -(1 - 0.002516*L335)*1897*COS(4*R335-Q335-2*P335)  -(1-0.002516*L335)^2*2117*COS(2*Q335-P335) +(1-0.002516*L335)^2*2354*COS(2*R335+2*Q335-P335) -1423*COS(4*R335+P335) -1117*COS(4*P335) -(1-0.002516*L335)*1571*COS(4*R335-Q335)  -1739*COS(R335-2*P335) -4421*COS(2*P335-2*S335) +(1-0.002516*L335)^2*1165*COS(2*Q335+P335) +8752*COS(2*R335-P335-2*S335))/1000</f>
        <v>371652.823768752</v>
      </c>
      <c r="AV335" s="54" t="n">
        <f aca="false">ATAN(0.99664719*TAN($A$10*input!$E$2))</f>
        <v>0.871010436227447</v>
      </c>
      <c r="AW335" s="54" t="n">
        <f aca="false">COS(AV335)</f>
        <v>0.644053912545845</v>
      </c>
      <c r="AX335" s="54" t="n">
        <f aca="false">0.99664719*SIN(AV335)</f>
        <v>0.762415269897027</v>
      </c>
      <c r="AY335" s="54" t="n">
        <f aca="false">6378.14/AU335</f>
        <v>0.0171615539882688</v>
      </c>
      <c r="AZ335" s="55" t="n">
        <f aca="false">M335-15*AH335</f>
        <v>-249.931535538018</v>
      </c>
      <c r="BA335" s="56" t="n">
        <f aca="false">COS($A$10*AG335)*SIN($A$10*AZ335)</f>
        <v>0.901919209955474</v>
      </c>
      <c r="BB335" s="56" t="n">
        <f aca="false">COS($A$10*AG335)*COS($A$10*AZ335)-AW335*AY335</f>
        <v>-0.340545745973824</v>
      </c>
      <c r="BC335" s="56" t="n">
        <f aca="false">SIN($A$10*AG335)-AX335*AY335</f>
        <v>-0.292326503140086</v>
      </c>
      <c r="BD335" s="57" t="n">
        <f aca="false">SQRT(BA335^2+BB335^2+BC335^2)</f>
        <v>1.00741473625597</v>
      </c>
      <c r="BE335" s="58" t="n">
        <f aca="false">AU335*BD335</f>
        <v>374408.531435784</v>
      </c>
    </row>
    <row r="336" customFormat="false" ht="15" hidden="false" customHeight="false" outlineLevel="0" collapsed="false">
      <c r="A336" s="11"/>
      <c r="B336" s="69"/>
      <c r="C336" s="69"/>
      <c r="D336" s="70" t="n">
        <f aca="false">K336-INT(275*E336/9)+IF($A$8="common year",2,1)*INT((E336+9)/12)+30</f>
        <v>1</v>
      </c>
      <c r="E336" s="70" t="n">
        <f aca="false">IF(K336&lt;32,1,INT(9*(IF($A$8="common year",2,1)+K336)/275+0.98))</f>
        <v>12</v>
      </c>
      <c r="F336" s="42" t="n">
        <f aca="false">AM336</f>
        <v>-14.1530028178672</v>
      </c>
      <c r="G336" s="60" t="n">
        <f aca="false">F336+1.02/(TAN($A$10*(F336+10.3/(F336+5.11)))*60)</f>
        <v>-14.2151784378867</v>
      </c>
      <c r="H336" s="43" t="n">
        <f aca="false">100*(1+COS($A$10*AQ336))/2</f>
        <v>54.4736968110265</v>
      </c>
      <c r="I336" s="43" t="n">
        <f aca="false">IF(AI336&gt;180,AT336-180,AT336+180)</f>
        <v>269.266688654779</v>
      </c>
      <c r="J336" s="44" t="n">
        <f aca="false">$J$2+K335</f>
        <v>2459914.5</v>
      </c>
      <c r="K336" s="11" t="n">
        <v>335</v>
      </c>
      <c r="L336" s="45" t="n">
        <f aca="false">(J336-2451545)/36525</f>
        <v>0.229144421629021</v>
      </c>
      <c r="M336" s="46" t="n">
        <f aca="false">MOD(280.46061837+360.98564736629*(J336-2451545)+0.000387933*L336^2-L336^3/38710000+$B$7,360)</f>
        <v>84.8362709032372</v>
      </c>
      <c r="N336" s="47" t="n">
        <f aca="false">0.606433+1336.855225*L336 - INT(0.606433+1336.855225*L336)</f>
        <v>0.939350334360029</v>
      </c>
      <c r="O336" s="46" t="n">
        <f aca="false">22640*SIN(P336)-4586*SIN(P336-2*R336)+2370*SIN(2*R336)+769*SIN(2*P336)-668*SIN(Q336)-412*SIN(2*S336)-212*SIN(2*P336-2*R336)-206*SIN(P336+Q336-2*R336)+192*SIN(P336+2*R336)-165*SIN(Q336-2*R336)-125*SIN(R336)-110*SIN(P336+Q336)+148*SIN(P336-Q336)-55*SIN(2*S336-2*R336)</f>
        <v>20166.9249802756</v>
      </c>
      <c r="P336" s="48" t="n">
        <f aca="false">2*PI()*(0.374897+1325.55241*L336 - INT(0.374897+1325.55241*L336))</f>
        <v>0.740393770472768</v>
      </c>
      <c r="Q336" s="51" t="n">
        <f aca="false">2*PI()*(0.993133+99.997361*L336 - INT(0.993133+99.997361*L336))</f>
        <v>5.69866341034574</v>
      </c>
      <c r="R336" s="51" t="n">
        <f aca="false">2*PI()*(0.827361+1236.853086*L336 - INT(0.827361+1236.853086*L336))</f>
        <v>1.54155458054736</v>
      </c>
      <c r="S336" s="51" t="n">
        <f aca="false">2*PI()*(0.259086+1342.227825*L336 - INT(0.259086+1342.227825*L336))</f>
        <v>5.17171906830977</v>
      </c>
      <c r="T336" s="51" t="n">
        <f aca="false">S336+(O336+412*SIN(2*S336)+541*SIN(Q336))/206264.8062</f>
        <v>5.26645625588596</v>
      </c>
      <c r="U336" s="51" t="n">
        <f aca="false">S336-2*R336</f>
        <v>2.08860990721505</v>
      </c>
      <c r="V336" s="50" t="n">
        <f aca="false">-526*SIN(U336)+44*SIN(P336+U336)-31*SIN(-P336+U336)-23*SIN(Q336+U336)+11*SIN(-Q336+U336)-25*SIN(-2*P336+S336)+21*SIN(-P336+S336)</f>
        <v>-498.852570455563</v>
      </c>
      <c r="W336" s="51" t="n">
        <f aca="false">2*PI()*(N336+O336/1296000-INT(N336+O336/1296000))</f>
        <v>5.99988423050864</v>
      </c>
      <c r="X336" s="46" t="n">
        <f aca="false">W336*180/PI()</f>
        <v>343.768043975242</v>
      </c>
      <c r="Y336" s="51" t="n">
        <f aca="false">(18520*SIN(T336)+V336)/206264.8062</f>
        <v>-0.0787730327072318</v>
      </c>
      <c r="Z336" s="51" t="n">
        <f aca="false">Y336*180/PI()</f>
        <v>-4.51336231357037</v>
      </c>
      <c r="AA336" s="51" t="n">
        <f aca="false">COS(Y336)*COS(W336)</f>
        <v>0.957160553028512</v>
      </c>
      <c r="AB336" s="51" t="n">
        <f aca="false">COS(Y336)*SIN(W336)</f>
        <v>-0.278659845020978</v>
      </c>
      <c r="AC336" s="51" t="n">
        <f aca="false">SIN(Y336)</f>
        <v>-0.0786915910313052</v>
      </c>
      <c r="AD336" s="51" t="n">
        <f aca="false">COS($A$10*(23.4393-46.815*L336/3600))*AB336-SIN($A$10*(23.4393-46.815*L336/3600))*AC336</f>
        <v>-0.224373182911174</v>
      </c>
      <c r="AE336" s="51" t="n">
        <f aca="false">SIN($A$10*(23.4393-46.815*L336/3600))*AB336+COS($A$10*(23.4393-46.815*L336/3600))*AC336</f>
        <v>-0.183031009712733</v>
      </c>
      <c r="AF336" s="51" t="n">
        <f aca="false">SQRT(1-AE336*AE336)</f>
        <v>0.983107140388848</v>
      </c>
      <c r="AG336" s="46" t="n">
        <f aca="false">ATAN(AE336/AF336)/$A$10</f>
        <v>-10.54635757293</v>
      </c>
      <c r="AH336" s="51" t="n">
        <f aca="false">IF(24*ATAN(AD336/(AA336+AF336))/PI()&gt;0,24*ATAN(AD336/(AA336+AF336))/PI(),24*ATAN(AD336/(AA336+AF336))/PI()+24)</f>
        <v>23.1204796385858</v>
      </c>
      <c r="AI336" s="46" t="n">
        <f aca="false">IF(M336-15*AH336&gt;0,M336-15*AH336,360+M336-15*AH336)</f>
        <v>98.0290763244495</v>
      </c>
      <c r="AJ336" s="48" t="n">
        <f aca="false">0.950724+0.051818*COS(P336)+0.009531*COS(2*R336-P336)+0.007843*COS(2*R336)+0.002824*COS(2*P336)+0.000857*COS(2*R336+P336)+0.000533*COS(2*R336-Q336)*(1-0.002495*(J336-2415020)/36525)+0.000401*COS(2*R336-Q336-P336)*(1-0.002495*(J336-2415020)/36525)+0.00032*COS(P336-Q336)*(1-0.002495*(J336-2415020)/36525)-0.000271*COS(R336)</f>
        <v>0.973306701817155</v>
      </c>
      <c r="AK336" s="51" t="n">
        <f aca="false">ASIN(COS($A$10*$B$5)*COS($A$10*AG336)*COS($A$10*AI336)+SIN($A$10*$B$5)*SIN($A$10*AG336))/$A$10</f>
        <v>-13.2073038470781</v>
      </c>
      <c r="AL336" s="48" t="n">
        <f aca="false">ASIN((0.9983271+0.0016764*COS($A$10*2*$B$5))*COS($A$10*AK336)*SIN($A$10*AJ336))/$A$10</f>
        <v>0.945698970789124</v>
      </c>
      <c r="AM336" s="48" t="n">
        <f aca="false">AK336-AL336</f>
        <v>-14.1530028178672</v>
      </c>
      <c r="AN336" s="46" t="n">
        <f aca="false"> MOD(280.4664567 + 360007.6982779*L336/10 + 0.03032028*L336^2/100 + L336^3/49931000,360)</f>
        <v>249.842053009017</v>
      </c>
      <c r="AO336" s="48" t="n">
        <f aca="false"> AN336 + (1.9146 - 0.004817*L336 - 0.000014*L336^2)*SIN(Q336)+ (0.019993 - 0.000101*L336)*SIN(2*Q336)+ 0.00029*SIN(3*Q336)</f>
        <v>248.767519861175</v>
      </c>
      <c r="AP336" s="48" t="n">
        <f aca="false">ACOS(COS(W336-$A$10*AO336)*COS(Y336))/$A$10</f>
        <v>94.9849782248163</v>
      </c>
      <c r="AQ336" s="50" t="n">
        <f aca="false">180 - AP336 -0.1468*(1-0.0549*SIN(Q336))*SIN($A$10*AP336)/(1-0.0167*SIN($A$10*AO336))</f>
        <v>84.8666562412538</v>
      </c>
      <c r="AR336" s="44" t="n">
        <f aca="false">SIN($A$10*AI336)</f>
        <v>0.990197314000292</v>
      </c>
      <c r="AS336" s="44" t="n">
        <f aca="false">COS($A$10*AI336)*SIN($A$10*$B$5) - TAN($A$10*AG336)*COS($A$10*$B$5)</f>
        <v>0.012673927836489</v>
      </c>
      <c r="AT336" s="71" t="n">
        <f aca="false">IF(OR(AND(AR336*AS336&gt;0), AND(AR336&lt;0,AS336&gt;0)), MOD(ATAN2(AS336,AR336)/$A$10+360,360),  ATAN2(AS336,AR336)/$A$10)</f>
        <v>89.2666886547792</v>
      </c>
      <c r="AU336" s="39" t="n">
        <f aca="false"> 385000.56 + (-20905355*COS(P336) - 3699111*COS(2*R336-P336) - 2955968*COS(2*R336) - 569925*COS(2*P336) + (1-0.002516*L336)*48888*COS(Q336) - 3149*COS(2*S336)  +246158*COS(2*R336-2*P336) -(1 - 0.002516*L336)*152138*COS(2*R336-Q336-P336) -170733*COS(2*R336+P336) -(1 - 0.002516*L336)*204586*COS(2*R336-Q336) -(1 - 0.002516*L336)*129620*COS(Q336-P336)  + 108743*COS(R336) +(1-0.002516*L336)*104755*COS(Q336+P336) +10321*COS(2*R336-2*S336) +79661*COS(P336-2*S336) -34782*COS(4*R336-P336) -23210*COS(3*P336)  -21636*COS(4*R336-2*P336) +(1 - 0.002516*L336)*24208*COS(2*R336+Q336-P336) +(1 - 0.002516*L336)*30824*COS(2*R336+Q336) -8379*COS(R336-P336) -(1 - 0.002516*L336)*16675*COS(R336+Q336)  -(1 - 0.002516*L336)*12831*COS(2*R336-Q336+P336) -10445*COS(2*R336+2*P336) -11650*COS(4*R336) +14403*COS(2*R336-3*P336) -(1-0.002516*L336)*7003*COS(Q336-2*P336)  + (1 - 0.002516*L336)*10056*COS(2*R336-Q336-2*P336) +6322*COS(R336+P336) -(1 - 0.002516*L336)*(1-0.002516*L336)*9884*COS(2*R336-2*Q336) +(1-0.002516*L336)*5751*COS(Q336+2*P336) - (1-0.002516*L336)^2*4950*COS(2*R336-2*Q336-P336)  +4130*COS(2*R336+P336-2*S336) -(1-0.002516*L336)*3958*COS(4*R336-Q336-P336) +3258*COS(3*R336-P336) +(1 - 0.002516*L336)*2616*COS(2*R336+Q336+P336) -(1 - 0.002516*L336)*1897*COS(4*R336-Q336-2*P336)  -(1-0.002516*L336)^2*2117*COS(2*Q336-P336) +(1-0.002516*L336)^2*2354*COS(2*R336+2*Q336-P336) -1423*COS(4*R336+P336) -1117*COS(4*P336) -(1-0.002516*L336)*1571*COS(4*R336-Q336)  -1739*COS(R336-2*P336) -4421*COS(2*P336-2*S336) +(1-0.002516*L336)^2*1165*COS(2*Q336+P336) +8752*COS(2*R336-P336-2*S336))/1000</f>
        <v>375495.904139444</v>
      </c>
      <c r="AV336" s="72" t="n">
        <f aca="false">ATAN(0.99664719*TAN($A$10*input!$E$2))</f>
        <v>0.871010436227447</v>
      </c>
      <c r="AW336" s="72" t="n">
        <f aca="false">COS(AV336)</f>
        <v>0.644053912545845</v>
      </c>
      <c r="AX336" s="72" t="n">
        <f aca="false">0.99664719*SIN(AV336)</f>
        <v>0.762415269897027</v>
      </c>
      <c r="AY336" s="72" t="n">
        <f aca="false">6378.14/AU336</f>
        <v>0.0169859109771579</v>
      </c>
      <c r="AZ336" s="73" t="n">
        <f aca="false">M336-15*AH336</f>
        <v>-261.970923675551</v>
      </c>
      <c r="BA336" s="74" t="n">
        <f aca="false">COS($A$10*AG336)*SIN($A$10*AZ336)</f>
        <v>0.973470049787545</v>
      </c>
      <c r="BB336" s="74" t="n">
        <f aca="false">COS($A$10*AG336)*COS($A$10*AZ336)-AW336*AY336</f>
        <v>-0.148255943628101</v>
      </c>
      <c r="BC336" s="74" t="n">
        <f aca="false">SIN($A$10*AG336)-AX336*AY336</f>
        <v>-0.19598132761483</v>
      </c>
      <c r="BD336" s="75" t="n">
        <f aca="false">SQRT(BA336^2+BB336^2+BC336^2)</f>
        <v>1.00400818892482</v>
      </c>
      <c r="BE336" s="58" t="n">
        <f aca="false">AU336*BD336</f>
        <v>377000.962663731</v>
      </c>
      <c r="BH336" s="69"/>
      <c r="BI336" s="69"/>
      <c r="BJ336" s="69"/>
      <c r="BK336" s="69"/>
      <c r="BL336" s="69"/>
    </row>
    <row r="337" customFormat="false" ht="15" hidden="false" customHeight="false" outlineLevel="0" collapsed="false">
      <c r="D337" s="41" t="n">
        <f aca="false">K337-INT(275*E337/9)+IF($A$8="common year",2,1)*INT((E337+9)/12)+30</f>
        <v>2</v>
      </c>
      <c r="E337" s="41" t="n">
        <f aca="false">IF(K337&lt;32,1,INT(9*(IF($A$8="common year",2,1)+K337)/275+0.98))</f>
        <v>12</v>
      </c>
      <c r="F337" s="42" t="n">
        <f aca="false">AM337</f>
        <v>-2.3085881355547</v>
      </c>
      <c r="G337" s="60" t="n">
        <f aca="false">F337+1.02/(TAN($A$10*(F337+10.3/(F337+5.11)))*60)</f>
        <v>-1.59678181502916</v>
      </c>
      <c r="H337" s="43" t="n">
        <f aca="false">100*(1+COS($A$10*AQ337))/2</f>
        <v>65.1986243138846</v>
      </c>
      <c r="I337" s="43" t="n">
        <f aca="false">IF(AI337&gt;180,AT337-180,AT337+180)</f>
        <v>264.609086962795</v>
      </c>
      <c r="J337" s="61" t="n">
        <f aca="false">$J$2+K336</f>
        <v>2459915.5</v>
      </c>
      <c r="K337" s="21" t="n">
        <v>336</v>
      </c>
      <c r="L337" s="62" t="n">
        <f aca="false">(J337-2451545)/36525</f>
        <v>0.229171800136893</v>
      </c>
      <c r="M337" s="63" t="n">
        <f aca="false">MOD(280.46061837+360.98564736629*(J337-2451545)+0.000387933*L337^2-L337^3/38710000+$B$7,360)</f>
        <v>85.821918274276</v>
      </c>
      <c r="N337" s="30" t="n">
        <f aca="false">0.606433+1336.855225*L337 - INT(0.606433+1336.855225*L337)</f>
        <v>0.975951435660477</v>
      </c>
      <c r="O337" s="35" t="n">
        <f aca="false">22640*SIN(P337)-4586*SIN(P337-2*R337)+2370*SIN(2*R337)+769*SIN(2*P337)-668*SIN(Q337)-412*SIN(2*S337)-212*SIN(2*P337-2*R337)-206*SIN(P337+Q337-2*R337)+192*SIN(P337+2*R337)-165*SIN(Q337-2*R337)-125*SIN(R337)-110*SIN(P337+Q337)+148*SIN(P337-Q337)-55*SIN(2*S337-2*R337)</f>
        <v>21715.8569911</v>
      </c>
      <c r="P337" s="32" t="n">
        <f aca="false">2*PI()*(0.374897+1325.55241*L337 - INT(0.374897+1325.55241*L337))</f>
        <v>0.968420914248229</v>
      </c>
      <c r="Q337" s="36" t="n">
        <f aca="false">2*PI()*(0.993133+99.997361*L337 - INT(0.993133+99.997361*L337))</f>
        <v>5.71586538021273</v>
      </c>
      <c r="R337" s="36" t="n">
        <f aca="false">2*PI()*(0.827361+1236.853086*L337 - INT(0.827361+1236.853086*L337))</f>
        <v>1.75432329066603</v>
      </c>
      <c r="S337" s="36" t="n">
        <f aca="false">2*PI()*(0.259086+1342.227825*L337 - INT(0.259086+1342.227825*L337))</f>
        <v>5.40261478765078</v>
      </c>
      <c r="T337" s="36" t="n">
        <f aca="false">S337+(O337+412*SIN(2*S337)+541*SIN(Q337))/206264.8062</f>
        <v>5.50452542997916</v>
      </c>
      <c r="U337" s="36" t="n">
        <f aca="false">S337-2*R337</f>
        <v>1.89396820631872</v>
      </c>
      <c r="V337" s="34" t="n">
        <f aca="false">-526*SIN(U337)+44*SIN(P337+U337)-31*SIN(-P337+U337)-23*SIN(Q337+U337)+11*SIN(-Q337+U337)-25*SIN(-2*P337+S337)+21*SIN(-P337+S337)</f>
        <v>-539.039863582391</v>
      </c>
      <c r="W337" s="36" t="n">
        <f aca="false">2*PI()*(N337+O337/1296000-INT(N337+O337/1296000))</f>
        <v>6.23736516672577</v>
      </c>
      <c r="X337" s="35" t="n">
        <f aca="false">W337*180/PI()</f>
        <v>357.3746993353</v>
      </c>
      <c r="Y337" s="36" t="n">
        <f aca="false">(18520*SIN(T337)+V337)/206264.8062</f>
        <v>-0.0656734372207351</v>
      </c>
      <c r="Z337" s="36" t="n">
        <f aca="false">Y337*180/PI()</f>
        <v>-3.76281077886549</v>
      </c>
      <c r="AA337" s="36" t="n">
        <f aca="false">COS(Y337)*COS(W337)</f>
        <v>0.9967969783648</v>
      </c>
      <c r="AB337" s="36" t="n">
        <f aca="false">COS(Y337)*SIN(W337)</f>
        <v>-0.0457053679460507</v>
      </c>
      <c r="AC337" s="36" t="n">
        <f aca="false">SIN(Y337)</f>
        <v>-0.0656262391404621</v>
      </c>
      <c r="AD337" s="36" t="n">
        <f aca="false">COS($A$10*(23.4393-46.815*L337/3600))*AB337-SIN($A$10*(23.4393-46.815*L337/3600))*AC337</f>
        <v>-0.0158333017484819</v>
      </c>
      <c r="AE337" s="36" t="n">
        <f aca="false">SIN($A$10*(23.4393-46.815*L337/3600))*AB337+COS($A$10*(23.4393-46.815*L337/3600))*AC337</f>
        <v>-0.0783906274917258</v>
      </c>
      <c r="AF337" s="36" t="n">
        <f aca="false">SQRT(1-AE337*AE337)</f>
        <v>0.996922719934426</v>
      </c>
      <c r="AG337" s="35" t="n">
        <f aca="false">ATAN(AE337/AF337)/$A$10</f>
        <v>-4.49606493915941</v>
      </c>
      <c r="AH337" s="36" t="n">
        <f aca="false">IF(24*ATAN(AD337/(AA337+AF337))/PI()&gt;0,24*ATAN(AD337/(AA337+AF337))/PI(),24*ATAN(AD337/(AA337+AF337))/PI()+24)</f>
        <v>23.939332007014</v>
      </c>
      <c r="AI337" s="63" t="n">
        <f aca="false">IF(M337-15*AH337&gt;0,M337-15*AH337,360+M337-15*AH337)</f>
        <v>86.7319381690667</v>
      </c>
      <c r="AJ337" s="32" t="n">
        <f aca="false">0.950724+0.051818*COS(P337)+0.009531*COS(2*R337-P337)+0.007843*COS(2*R337)+0.002824*COS(2*P337)+0.000857*COS(2*R337+P337)+0.000533*COS(2*R337-Q337)*(1-0.002495*(J337-2415020)/36525)+0.000401*COS(2*R337-Q337-P337)*(1-0.002495*(J337-2415020)/36525)+0.00032*COS(P337-Q337)*(1-0.002495*(J337-2415020)/36525)-0.000271*COS(R337)</f>
        <v>0.963039374717065</v>
      </c>
      <c r="AK337" s="36" t="n">
        <f aca="false">ASIN(COS($A$10*$B$5)*COS($A$10*AG337)*COS($A$10*AI337)+SIN($A$10*$B$5)*SIN($A$10*AG337))/$A$10</f>
        <v>-1.3477062561986</v>
      </c>
      <c r="AL337" s="32" t="n">
        <f aca="false">ASIN((0.9983271+0.0016764*COS($A$10*2*$B$5))*COS($A$10*AK337)*SIN($A$10*AJ337))/$A$10</f>
        <v>0.960881879356104</v>
      </c>
      <c r="AM337" s="32" t="n">
        <f aca="false">AK337-AL337</f>
        <v>-2.3085881355547</v>
      </c>
      <c r="AN337" s="35" t="n">
        <f aca="false"> MOD(280.4664567 + 360007.6982779*L337/10 + 0.03032028*L337^2/100 + L337^3/49931000,360)</f>
        <v>250.827700372927</v>
      </c>
      <c r="AO337" s="32" t="n">
        <f aca="false"> AN337 + (1.9146 - 0.004817*L337 - 0.000014*L337^2)*SIN(Q337)+ (0.019993 - 0.000101*L337)*SIN(2*Q337)+ 0.00029*SIN(3*Q337)</f>
        <v>249.781050363623</v>
      </c>
      <c r="AP337" s="32" t="n">
        <f aca="false">ACOS(COS(W337-$A$10*AO337)*COS(Y337))/$A$10</f>
        <v>107.554487345895</v>
      </c>
      <c r="AQ337" s="34" t="n">
        <f aca="false">180 - AP337 -0.1468*(1-0.0549*SIN(Q337))*SIN($A$10*AP337)/(1-0.0167*SIN($A$10*AO337))</f>
        <v>72.3036430951828</v>
      </c>
      <c r="AR337" s="64" t="n">
        <f aca="false">SIN($A$10*AI337)</f>
        <v>0.998373749205224</v>
      </c>
      <c r="AS337" s="64" t="n">
        <f aca="false">COS($A$10*AI337)*SIN($A$10*$B$5) - TAN($A$10*AG337)*COS($A$10*$B$5)</f>
        <v>0.0942143532674048</v>
      </c>
      <c r="AT337" s="24" t="n">
        <f aca="false">IF(OR(AND(AR337*AS337&gt;0), AND(AR337&lt;0,AS337&gt;0)), MOD(ATAN2(AS337,AR337)/$A$10+360,360),  ATAN2(AS337,AR337)/$A$10)</f>
        <v>84.6090869627954</v>
      </c>
      <c r="AU337" s="39" t="n">
        <f aca="false"> 385000.56 + (-20905355*COS(P337) - 3699111*COS(2*R337-P337) - 2955968*COS(2*R337) - 569925*COS(2*P337) + (1-0.002516*L337)*48888*COS(Q337) - 3149*COS(2*S337)  +246158*COS(2*R337-2*P337) -(1 - 0.002516*L337)*152138*COS(2*R337-Q337-P337) -170733*COS(2*R337+P337) -(1 - 0.002516*L337)*204586*COS(2*R337-Q337) -(1 - 0.002516*L337)*129620*COS(Q337-P337)  + 108743*COS(R337) +(1-0.002516*L337)*104755*COS(Q337+P337) +10321*COS(2*R337-2*S337) +79661*COS(P337-2*S337) -34782*COS(4*R337-P337) -23210*COS(3*P337)  -21636*COS(4*R337-2*P337) +(1 - 0.002516*L337)*24208*COS(2*R337+Q337-P337) +(1 - 0.002516*L337)*30824*COS(2*R337+Q337) -8379*COS(R337-P337) -(1 - 0.002516*L337)*16675*COS(R337+Q337)  -(1 - 0.002516*L337)*12831*COS(2*R337-Q337+P337) -10445*COS(2*R337+2*P337) -11650*COS(4*R337) +14403*COS(2*R337-3*P337) -(1-0.002516*L337)*7003*COS(Q337-2*P337)  + (1 - 0.002516*L337)*10056*COS(2*R337-Q337-2*P337) +6322*COS(R337+P337) -(1 - 0.002516*L337)*(1-0.002516*L337)*9884*COS(2*R337-2*Q337) +(1-0.002516*L337)*5751*COS(Q337+2*P337) - (1-0.002516*L337)^2*4950*COS(2*R337-2*Q337-P337)  +4130*COS(2*R337+P337-2*S337) -(1-0.002516*L337)*3958*COS(4*R337-Q337-P337) +3258*COS(3*R337-P337) +(1 - 0.002516*L337)*2616*COS(2*R337+Q337+P337) -(1 - 0.002516*L337)*1897*COS(4*R337-Q337-2*P337)  -(1-0.002516*L337)^2*2117*COS(2*Q337-P337) +(1-0.002516*L337)^2*2354*COS(2*R337+2*Q337-P337) -1423*COS(4*R337+P337) -1117*COS(4*P337) -(1-0.002516*L337)*1571*COS(4*R337-Q337)  -1739*COS(R337-2*P337) -4421*COS(2*P337-2*S337) +(1-0.002516*L337)^2*1165*COS(2*Q337+P337) +8752*COS(2*R337-P337-2*S337))/1000</f>
        <v>379447.182573205</v>
      </c>
      <c r="AV337" s="54" t="n">
        <f aca="false">ATAN(0.99664719*TAN($A$10*input!$E$2))</f>
        <v>0.871010436227447</v>
      </c>
      <c r="AW337" s="54" t="n">
        <f aca="false">COS(AV337)</f>
        <v>0.644053912545845</v>
      </c>
      <c r="AX337" s="54" t="n">
        <f aca="false">0.99664719*SIN(AV337)</f>
        <v>0.762415269897027</v>
      </c>
      <c r="AY337" s="54" t="n">
        <f aca="false">6378.14/AU337</f>
        <v>0.0168090324369967</v>
      </c>
      <c r="AZ337" s="55" t="n">
        <f aca="false">M337-15*AH337</f>
        <v>-273.268061830933</v>
      </c>
      <c r="BA337" s="56" t="n">
        <f aca="false">COS($A$10*AG337)*SIN($A$10*AZ337)</f>
        <v>0.995301473568803</v>
      </c>
      <c r="BB337" s="56" t="n">
        <f aca="false">COS($A$10*AG337)*COS($A$10*AZ337)-AW337*AY337</f>
        <v>0.0460061649525278</v>
      </c>
      <c r="BC337" s="56" t="n">
        <f aca="false">SIN($A$10*AG337)-AX337*AY337</f>
        <v>-0.0912060904938865</v>
      </c>
      <c r="BD337" s="57" t="n">
        <f aca="false">SQRT(BA337^2+BB337^2+BC337^2)</f>
        <v>1.00052993030946</v>
      </c>
      <c r="BE337" s="58" t="n">
        <f aca="false">AU337*BD337</f>
        <v>379648.263136089</v>
      </c>
    </row>
    <row r="338" customFormat="false" ht="15" hidden="false" customHeight="false" outlineLevel="0" collapsed="false">
      <c r="D338" s="41" t="n">
        <f aca="false">K338-INT(275*E338/9)+IF($A$8="common year",2,1)*INT((E338+9)/12)+30</f>
        <v>3</v>
      </c>
      <c r="E338" s="41" t="n">
        <f aca="false">IF(K338&lt;32,1,INT(9*(IF($A$8="common year",2,1)+K338)/275+0.98))</f>
        <v>12</v>
      </c>
      <c r="F338" s="42" t="n">
        <f aca="false">AM338</f>
        <v>9.35478225633113</v>
      </c>
      <c r="G338" s="60" t="n">
        <f aca="false">F338+1.02/(TAN($A$10*(F338+10.3/(F338+5.11)))*60)</f>
        <v>9.45054051711403</v>
      </c>
      <c r="H338" s="43" t="n">
        <f aca="false">100*(1+COS($A$10*AQ338))/2</f>
        <v>74.9884318282859</v>
      </c>
      <c r="I338" s="43" t="n">
        <f aca="false">IF(AI338&gt;180,AT338-180,AT338+180)</f>
        <v>260.136563833739</v>
      </c>
      <c r="J338" s="61" t="n">
        <f aca="false">$J$2+K337</f>
        <v>2459916.5</v>
      </c>
      <c r="K338" s="21" t="n">
        <v>337</v>
      </c>
      <c r="L338" s="62" t="n">
        <f aca="false">(J338-2451545)/36525</f>
        <v>0.229199178644764</v>
      </c>
      <c r="M338" s="63" t="n">
        <f aca="false">MOD(280.46061837+360.98564736629*(J338-2451545)+0.000387933*L338^2-L338^3/38710000+$B$7,360)</f>
        <v>86.8075656453148</v>
      </c>
      <c r="N338" s="30" t="n">
        <f aca="false">0.606433+1336.855225*L338 - INT(0.606433+1336.855225*L338)</f>
        <v>0.0125525369609818</v>
      </c>
      <c r="O338" s="35" t="n">
        <f aca="false">22640*SIN(P338)-4586*SIN(P338-2*R338)+2370*SIN(2*R338)+769*SIN(2*P338)-668*SIN(Q338)-412*SIN(2*S338)-212*SIN(2*P338-2*R338)-206*SIN(P338+Q338-2*R338)+192*SIN(P338+2*R338)-165*SIN(Q338-2*R338)-125*SIN(R338)-110*SIN(P338+Q338)+148*SIN(P338-Q338)-55*SIN(2*S338-2*R338)</f>
        <v>22218.1392207232</v>
      </c>
      <c r="P338" s="32" t="n">
        <f aca="false">2*PI()*(0.374897+1325.55241*L338 - INT(0.374897+1325.55241*L338))</f>
        <v>1.19644805802405</v>
      </c>
      <c r="Q338" s="36" t="n">
        <f aca="false">2*PI()*(0.993133+99.997361*L338 - INT(0.993133+99.997361*L338))</f>
        <v>5.73306735007973</v>
      </c>
      <c r="R338" s="36" t="n">
        <f aca="false">2*PI()*(0.827361+1236.853086*L338 - INT(0.827361+1236.853086*L338))</f>
        <v>1.96709200078505</v>
      </c>
      <c r="S338" s="36" t="n">
        <f aca="false">2*PI()*(0.259086+1342.227825*L338 - INT(0.259086+1342.227825*L338))</f>
        <v>5.63351050699178</v>
      </c>
      <c r="T338" s="36" t="n">
        <f aca="false">S338+(O338+412*SIN(2*S338)+541*SIN(Q338))/206264.8062</f>
        <v>5.73793160149047</v>
      </c>
      <c r="U338" s="36" t="n">
        <f aca="false">S338-2*R338</f>
        <v>1.69932650542167</v>
      </c>
      <c r="V338" s="34" t="n">
        <f aca="false">-526*SIN(U338)+44*SIN(P338+U338)-31*SIN(-P338+U338)-23*SIN(Q338+U338)+11*SIN(-Q338+U338)-25*SIN(-2*P338+S338)+21*SIN(-P338+S338)</f>
        <v>-556.055310639236</v>
      </c>
      <c r="W338" s="36" t="n">
        <f aca="false">2*PI()*(N338+O338/1296000-INT(N338+O338/1296000))</f>
        <v>0.186586494431099</v>
      </c>
      <c r="X338" s="35" t="n">
        <f aca="false">W338*180/PI()</f>
        <v>10.6906186450432</v>
      </c>
      <c r="Y338" s="36" t="n">
        <f aca="false">(18520*SIN(T338)+V338)/206264.8062</f>
        <v>-0.049262771246052</v>
      </c>
      <c r="Z338" s="36" t="n">
        <f aca="false">Y338*180/PI()</f>
        <v>-2.82254887951721</v>
      </c>
      <c r="AA338" s="36" t="n">
        <f aca="false">COS(Y338)*COS(W338)</f>
        <v>0.981451075333969</v>
      </c>
      <c r="AB338" s="36" t="n">
        <f aca="false">COS(Y338)*SIN(W338)</f>
        <v>0.185280675227148</v>
      </c>
      <c r="AC338" s="36" t="n">
        <f aca="false">SIN(Y338)</f>
        <v>-0.0492428483454056</v>
      </c>
      <c r="AD338" s="36" t="n">
        <f aca="false">COS($A$10*(23.4393-46.815*L338/3600))*AB338-SIN($A$10*(23.4393-46.815*L338/3600))*AC338</f>
        <v>0.189580855124849</v>
      </c>
      <c r="AE338" s="36" t="n">
        <f aca="false">SIN($A$10*(23.4393-46.815*L338/3600))*AB338+COS($A$10*(23.4393-46.815*L338/3600))*AC338</f>
        <v>0.0285111573936865</v>
      </c>
      <c r="AF338" s="36" t="n">
        <f aca="false">SQRT(1-AE338*AE338)</f>
        <v>0.999593474320472</v>
      </c>
      <c r="AG338" s="35" t="n">
        <f aca="false">ATAN(AE338/AF338)/$A$10</f>
        <v>1.63379038627447</v>
      </c>
      <c r="AH338" s="36" t="n">
        <f aca="false">IF(24*ATAN(AD338/(AA338+AF338))/PI()&gt;0,24*ATAN(AD338/(AA338+AF338))/PI(),24*ATAN(AD338/(AA338+AF338))/PI()+24)</f>
        <v>0.72885490520105</v>
      </c>
      <c r="AI338" s="63" t="n">
        <f aca="false">IF(M338-15*AH338&gt;0,M338-15*AH338,360+M338-15*AH338)</f>
        <v>75.874742067299</v>
      </c>
      <c r="AJ338" s="32" t="n">
        <f aca="false">0.950724+0.051818*COS(P338)+0.009531*COS(2*R338-P338)+0.007843*COS(2*R338)+0.002824*COS(2*P338)+0.000857*COS(2*R338+P338)+0.000533*COS(2*R338-Q338)*(1-0.002495*(J338-2415020)/36525)+0.000401*COS(2*R338-Q338-P338)*(1-0.002495*(J338-2415020)/36525)+0.00032*COS(P338-Q338)*(1-0.002495*(J338-2415020)/36525)-0.000271*COS(R338)</f>
        <v>0.953214474427598</v>
      </c>
      <c r="AK338" s="36" t="n">
        <f aca="false">ASIN(COS($A$10*$B$5)*COS($A$10*AG338)*COS($A$10*AI338)+SIN($A$10*$B$5)*SIN($A$10*AG338))/$A$10</f>
        <v>10.2908194692019</v>
      </c>
      <c r="AL338" s="32" t="n">
        <f aca="false">ASIN((0.9983271+0.0016764*COS($A$10*2*$B$5))*COS($A$10*AK338)*SIN($A$10*AJ338))/$A$10</f>
        <v>0.936037212870816</v>
      </c>
      <c r="AM338" s="32" t="n">
        <f aca="false">AK338-AL338</f>
        <v>9.35478225633113</v>
      </c>
      <c r="AN338" s="35" t="n">
        <f aca="false"> MOD(280.4664567 + 360007.6982779*L338/10 + 0.03032028*L338^2/100 + L338^3/49931000,360)</f>
        <v>251.813347736837</v>
      </c>
      <c r="AO338" s="32" t="n">
        <f aca="false"> AN338 + (1.9146 - 0.004817*L338 - 0.000014*L338^2)*SIN(Q338)+ (0.019993 - 0.000101*L338)*SIN(2*Q338)+ 0.00029*SIN(3*Q338)</f>
        <v>250.794907312924</v>
      </c>
      <c r="AP338" s="32" t="n">
        <f aca="false">ACOS(COS(W338-$A$10*AO338)*COS(Y338))/$A$10</f>
        <v>119.855756680521</v>
      </c>
      <c r="AQ338" s="34" t="n">
        <f aca="false">180 - AP338 -0.1468*(1-0.0549*SIN(Q338))*SIN($A$10*AP338)/(1-0.0167*SIN($A$10*AO338))</f>
        <v>60.0153057014795</v>
      </c>
      <c r="AR338" s="64" t="n">
        <f aca="false">SIN($A$10*AI338)</f>
        <v>0.969764527246822</v>
      </c>
      <c r="AS338" s="64" t="n">
        <f aca="false">COS($A$10*AI338)*SIN($A$10*$B$5) - TAN($A$10*AG338)*COS($A$10*$B$5)</f>
        <v>0.168613360241531</v>
      </c>
      <c r="AT338" s="24" t="n">
        <f aca="false">IF(OR(AND(AR338*AS338&gt;0), AND(AR338&lt;0,AS338&gt;0)), MOD(ATAN2(AS338,AR338)/$A$10+360,360),  ATAN2(AS338,AR338)/$A$10)</f>
        <v>80.136563833739</v>
      </c>
      <c r="AU338" s="39" t="n">
        <f aca="false"> 385000.56 + (-20905355*COS(P338) - 3699111*COS(2*R338-P338) - 2955968*COS(2*R338) - 569925*COS(2*P338) + (1-0.002516*L338)*48888*COS(Q338) - 3149*COS(2*S338)  +246158*COS(2*R338-2*P338) -(1 - 0.002516*L338)*152138*COS(2*R338-Q338-P338) -170733*COS(2*R338+P338) -(1 - 0.002516*L338)*204586*COS(2*R338-Q338) -(1 - 0.002516*L338)*129620*COS(Q338-P338)  + 108743*COS(R338) +(1-0.002516*L338)*104755*COS(Q338+P338) +10321*COS(2*R338-2*S338) +79661*COS(P338-2*S338) -34782*COS(4*R338-P338) -23210*COS(3*P338)  -21636*COS(4*R338-2*P338) +(1 - 0.002516*L338)*24208*COS(2*R338+Q338-P338) +(1 - 0.002516*L338)*30824*COS(2*R338+Q338) -8379*COS(R338-P338) -(1 - 0.002516*L338)*16675*COS(R338+Q338)  -(1 - 0.002516*L338)*12831*COS(2*R338-Q338+P338) -10445*COS(2*R338+2*P338) -11650*COS(4*R338) +14403*COS(2*R338-3*P338) -(1-0.002516*L338)*7003*COS(Q338-2*P338)  + (1 - 0.002516*L338)*10056*COS(2*R338-Q338-2*P338) +6322*COS(R338+P338) -(1 - 0.002516*L338)*(1-0.002516*L338)*9884*COS(2*R338-2*Q338) +(1-0.002516*L338)*5751*COS(Q338+2*P338) - (1-0.002516*L338)^2*4950*COS(2*R338-2*Q338-P338)  +4130*COS(2*R338+P338-2*S338) -(1-0.002516*L338)*3958*COS(4*R338-Q338-P338) +3258*COS(3*R338-P338) +(1 - 0.002516*L338)*2616*COS(2*R338+Q338+P338) -(1 - 0.002516*L338)*1897*COS(4*R338-Q338-2*P338)  -(1-0.002516*L338)^2*2117*COS(2*Q338-P338) +(1-0.002516*L338)^2*2354*COS(2*R338+2*Q338-P338) -1423*COS(4*R338+P338) -1117*COS(4*P338) -(1-0.002516*L338)*1571*COS(4*R338-Q338)  -1739*COS(R338-2*P338) -4421*COS(2*P338-2*S338) +(1-0.002516*L338)^2*1165*COS(2*Q338+P338) +8752*COS(2*R338-P338-2*S338))/1000</f>
        <v>383340.937431322</v>
      </c>
      <c r="AV338" s="54" t="n">
        <f aca="false">ATAN(0.99664719*TAN($A$10*input!$E$2))</f>
        <v>0.871010436227447</v>
      </c>
      <c r="AW338" s="54" t="n">
        <f aca="false">COS(AV338)</f>
        <v>0.644053912545845</v>
      </c>
      <c r="AX338" s="54" t="n">
        <f aca="false">0.99664719*SIN(AV338)</f>
        <v>0.762415269897027</v>
      </c>
      <c r="AY338" s="54" t="n">
        <f aca="false">6378.14/AU338</f>
        <v>0.0166382960367824</v>
      </c>
      <c r="AZ338" s="55" t="n">
        <f aca="false">M338-15*AH338</f>
        <v>75.874742067299</v>
      </c>
      <c r="BA338" s="56" t="n">
        <f aca="false">COS($A$10*AG338)*SIN($A$10*AZ338)</f>
        <v>0.969370293063401</v>
      </c>
      <c r="BB338" s="56" t="n">
        <f aca="false">COS($A$10*AG338)*COS($A$10*AZ338)-AW338*AY338</f>
        <v>0.233227371525672</v>
      </c>
      <c r="BC338" s="56" t="n">
        <f aca="false">SIN($A$10*AG338)-AX338*AY338</f>
        <v>0.0158258664301764</v>
      </c>
      <c r="BD338" s="57" t="n">
        <f aca="false">SQRT(BA338^2+BB338^2+BC338^2)</f>
        <v>0.997158076711443</v>
      </c>
      <c r="BE338" s="58" t="n">
        <f aca="false">AU338*BD338</f>
        <v>382251.511893779</v>
      </c>
    </row>
    <row r="339" customFormat="false" ht="15" hidden="false" customHeight="false" outlineLevel="0" collapsed="false">
      <c r="D339" s="41" t="n">
        <f aca="false">K339-INT(275*E339/9)+IF($A$8="common year",2,1)*INT((E339+9)/12)+30</f>
        <v>4</v>
      </c>
      <c r="E339" s="41" t="n">
        <f aca="false">IF(K339&lt;32,1,INT(9*(IF($A$8="common year",2,1)+K339)/275+0.98))</f>
        <v>12</v>
      </c>
      <c r="F339" s="42" t="n">
        <f aca="false">AM339</f>
        <v>20.763360300637</v>
      </c>
      <c r="G339" s="60" t="n">
        <f aca="false">F339+1.02/(TAN($A$10*(F339+10.3/(F339+5.11)))*60)</f>
        <v>20.8072765271011</v>
      </c>
      <c r="H339" s="43" t="n">
        <f aca="false">100*(1+COS($A$10*AQ339))/2</f>
        <v>83.4699113722139</v>
      </c>
      <c r="I339" s="43" t="n">
        <f aca="false">IF(AI339&gt;180,AT339-180,AT339+180)</f>
        <v>255.413806024339</v>
      </c>
      <c r="J339" s="61" t="n">
        <f aca="false">$J$2+K338</f>
        <v>2459917.5</v>
      </c>
      <c r="K339" s="21" t="n">
        <v>338</v>
      </c>
      <c r="L339" s="62" t="n">
        <f aca="false">(J339-2451545)/36525</f>
        <v>0.229226557152635</v>
      </c>
      <c r="M339" s="63" t="n">
        <f aca="false">MOD(280.46061837+360.98564736629*(J339-2451545)+0.000387933*L339^2-L339^3/38710000+$B$7,360)</f>
        <v>87.7932130163536</v>
      </c>
      <c r="N339" s="30" t="n">
        <f aca="false">0.606433+1336.855225*L339 - INT(0.606433+1336.855225*L339)</f>
        <v>0.0491536382614299</v>
      </c>
      <c r="O339" s="35" t="n">
        <f aca="false">22640*SIN(P339)-4586*SIN(P339-2*R339)+2370*SIN(2*R339)+769*SIN(2*P339)-668*SIN(Q339)-412*SIN(2*S339)-212*SIN(2*P339-2*R339)-206*SIN(P339+Q339-2*R339)+192*SIN(P339+2*R339)-165*SIN(Q339-2*R339)-125*SIN(R339)-110*SIN(P339+Q339)+148*SIN(P339-Q339)-55*SIN(2*S339-2*R339)</f>
        <v>21772.5148193381</v>
      </c>
      <c r="P339" s="32" t="n">
        <f aca="false">2*PI()*(0.374897+1325.55241*L339 - INT(0.374897+1325.55241*L339))</f>
        <v>1.42447520179986</v>
      </c>
      <c r="Q339" s="36" t="n">
        <f aca="false">2*PI()*(0.993133+99.997361*L339 - INT(0.993133+99.997361*L339))</f>
        <v>5.75026931994672</v>
      </c>
      <c r="R339" s="36" t="n">
        <f aca="false">2*PI()*(0.827361+1236.853086*L339 - INT(0.827361+1236.853086*L339))</f>
        <v>2.17986071090408</v>
      </c>
      <c r="S339" s="36" t="n">
        <f aca="false">2*PI()*(0.259086+1342.227825*L339 - INT(0.259086+1342.227825*L339))</f>
        <v>5.86440622633243</v>
      </c>
      <c r="T339" s="36" t="n">
        <f aca="false">S339+(O339+412*SIN(2*S339)+541*SIN(Q339))/206264.8062</f>
        <v>5.96714571523228</v>
      </c>
      <c r="U339" s="36" t="n">
        <f aca="false">S339-2*R339</f>
        <v>1.50468480452427</v>
      </c>
      <c r="V339" s="34" t="n">
        <f aca="false">-526*SIN(U339)+44*SIN(P339+U339)-31*SIN(-P339+U339)-23*SIN(Q339+U339)+11*SIN(-Q339+U339)-25*SIN(-2*P339+S339)+21*SIN(-P339+S339)</f>
        <v>-550.600499165669</v>
      </c>
      <c r="W339" s="36" t="n">
        <f aca="false">2*PI()*(N339+O339/1296000-INT(N339+O339/1296000))</f>
        <v>0.414397548284389</v>
      </c>
      <c r="X339" s="35" t="n">
        <f aca="false">W339*180/PI()</f>
        <v>23.7432305572643</v>
      </c>
      <c r="Y339" s="36" t="n">
        <f aca="false">(18520*SIN(T339)+V339)/206264.8062</f>
        <v>-0.0305757655521608</v>
      </c>
      <c r="Z339" s="36" t="n">
        <f aca="false">Y339*180/PI()</f>
        <v>-1.75186232152031</v>
      </c>
      <c r="AA339" s="36" t="n">
        <f aca="false">COS(Y339)*COS(W339)</f>
        <v>0.914931215943023</v>
      </c>
      <c r="AB339" s="36" t="n">
        <f aca="false">COS(Y339)*SIN(W339)</f>
        <v>0.402450349670056</v>
      </c>
      <c r="AC339" s="36" t="n">
        <f aca="false">SIN(Y339)</f>
        <v>-0.0305710016759487</v>
      </c>
      <c r="AD339" s="36" t="n">
        <f aca="false">COS($A$10*(23.4393-46.815*L339/3600))*AB339-SIN($A$10*(23.4393-46.815*L339/3600))*AC339</f>
        <v>0.381408271236292</v>
      </c>
      <c r="AE339" s="36" t="n">
        <f aca="false">SIN($A$10*(23.4393-46.815*L339/3600))*AB339+COS($A$10*(23.4393-46.815*L339/3600))*AC339</f>
        <v>0.132017425840546</v>
      </c>
      <c r="AF339" s="36" t="n">
        <f aca="false">SQRT(1-AE339*AE339)</f>
        <v>0.991247395595285</v>
      </c>
      <c r="AG339" s="35" t="n">
        <f aca="false">ATAN(AE339/AF339)/$A$10</f>
        <v>7.58618722982434</v>
      </c>
      <c r="AH339" s="36" t="n">
        <f aca="false">IF(24*ATAN(AD339/(AA339+AF339))/PI()&gt;0,24*ATAN(AD339/(AA339+AF339))/PI(),24*ATAN(AD339/(AA339+AF339))/PI()+24)</f>
        <v>1.50865591614901</v>
      </c>
      <c r="AI339" s="63" t="n">
        <f aca="false">IF(M339-15*AH339&gt;0,M339-15*AH339,360+M339-15*AH339)</f>
        <v>65.1633742741184</v>
      </c>
      <c r="AJ339" s="32" t="n">
        <f aca="false">0.950724+0.051818*COS(P339)+0.009531*COS(2*R339-P339)+0.007843*COS(2*R339)+0.002824*COS(2*P339)+0.000857*COS(2*R339+P339)+0.000533*COS(2*R339-Q339)*(1-0.002495*(J339-2415020)/36525)+0.000401*COS(2*R339-Q339-P339)*(1-0.002495*(J339-2415020)/36525)+0.00032*COS(P339-Q339)*(1-0.002495*(J339-2415020)/36525)-0.000271*COS(R339)</f>
        <v>0.944041182816544</v>
      </c>
      <c r="AK339" s="36" t="n">
        <f aca="false">ASIN(COS($A$10*$B$5)*COS($A$10*AG339)*COS($A$10*AI339)+SIN($A$10*$B$5)*SIN($A$10*AG339))/$A$10</f>
        <v>21.6391410256244</v>
      </c>
      <c r="AL339" s="32" t="n">
        <f aca="false">ASIN((0.9983271+0.0016764*COS($A$10*2*$B$5))*COS($A$10*AK339)*SIN($A$10*AJ339))/$A$10</f>
        <v>0.875780724987336</v>
      </c>
      <c r="AM339" s="32" t="n">
        <f aca="false">AK339-AL339</f>
        <v>20.763360300637</v>
      </c>
      <c r="AN339" s="35" t="n">
        <f aca="false"> MOD(280.4664567 + 360007.6982779*L339/10 + 0.03032028*L339^2/100 + L339^3/49931000,360)</f>
        <v>252.798995100746</v>
      </c>
      <c r="AO339" s="32" t="n">
        <f aca="false"> AN339 + (1.9146 - 0.004817*L339 - 0.000014*L339^2)*SIN(Q339)+ (0.019993 - 0.000101*L339)*SIN(2*Q339)+ 0.00029*SIN(3*Q339)</f>
        <v>251.809082098437</v>
      </c>
      <c r="AP339" s="32" t="n">
        <f aca="false">ACOS(COS(W339-$A$10*AO339)*COS(Y339))/$A$10</f>
        <v>131.91009568675</v>
      </c>
      <c r="AQ339" s="34" t="n">
        <f aca="false">180 - AP339 -0.1468*(1-0.0549*SIN(Q339))*SIN($A$10*AP339)/(1-0.0167*SIN($A$10*AO339))</f>
        <v>47.9793633148028</v>
      </c>
      <c r="AR339" s="64" t="n">
        <f aca="false">SIN($A$10*AI339)</f>
        <v>0.907509162737284</v>
      </c>
      <c r="AS339" s="64" t="n">
        <f aca="false">COS($A$10*AI339)*SIN($A$10*$B$5) - TAN($A$10*AG339)*COS($A$10*$B$5)</f>
        <v>0.236154934439334</v>
      </c>
      <c r="AT339" s="24" t="n">
        <f aca="false">IF(OR(AND(AR339*AS339&gt;0), AND(AR339&lt;0,AS339&gt;0)), MOD(ATAN2(AS339,AR339)/$A$10+360,360),  ATAN2(AS339,AR339)/$A$10)</f>
        <v>75.4138060243395</v>
      </c>
      <c r="AU339" s="39" t="n">
        <f aca="false"> 385000.56 + (-20905355*COS(P339) - 3699111*COS(2*R339-P339) - 2955968*COS(2*R339) - 569925*COS(2*P339) + (1-0.002516*L339)*48888*COS(Q339) - 3149*COS(2*S339)  +246158*COS(2*R339-2*P339) -(1 - 0.002516*L339)*152138*COS(2*R339-Q339-P339) -170733*COS(2*R339+P339) -(1 - 0.002516*L339)*204586*COS(2*R339-Q339) -(1 - 0.002516*L339)*129620*COS(Q339-P339)  + 108743*COS(R339) +(1-0.002516*L339)*104755*COS(Q339+P339) +10321*COS(2*R339-2*S339) +79661*COS(P339-2*S339) -34782*COS(4*R339-P339) -23210*COS(3*P339)  -21636*COS(4*R339-2*P339) +(1 - 0.002516*L339)*24208*COS(2*R339+Q339-P339) +(1 - 0.002516*L339)*30824*COS(2*R339+Q339) -8379*COS(R339-P339) -(1 - 0.002516*L339)*16675*COS(R339+Q339)  -(1 - 0.002516*L339)*12831*COS(2*R339-Q339+P339) -10445*COS(2*R339+2*P339) -11650*COS(4*R339) +14403*COS(2*R339-3*P339) -(1-0.002516*L339)*7003*COS(Q339-2*P339)  + (1 - 0.002516*L339)*10056*COS(2*R339-Q339-2*P339) +6322*COS(R339+P339) -(1 - 0.002516*L339)*(1-0.002516*L339)*9884*COS(2*R339-2*Q339) +(1-0.002516*L339)*5751*COS(Q339+2*P339) - (1-0.002516*L339)^2*4950*COS(2*R339-2*Q339-P339)  +4130*COS(2*R339+P339-2*S339) -(1-0.002516*L339)*3958*COS(4*R339-Q339-P339) +3258*COS(3*R339-P339) +(1 - 0.002516*L339)*2616*COS(2*R339+Q339+P339) -(1 - 0.002516*L339)*1897*COS(4*R339-Q339-2*P339)  -(1-0.002516*L339)^2*2117*COS(2*Q339-P339) +(1-0.002516*L339)^2*2354*COS(2*R339+2*Q339-P339) -1423*COS(4*R339+P339) -1117*COS(4*P339) -(1-0.002516*L339)*1571*COS(4*R339-Q339)  -1739*COS(R339-2*P339) -4421*COS(2*P339-2*S339) +(1-0.002516*L339)^2*1165*COS(2*Q339+P339) +8752*COS(2*R339-P339-2*S339))/1000</f>
        <v>387080.750625282</v>
      </c>
      <c r="AV339" s="54" t="n">
        <f aca="false">ATAN(0.99664719*TAN($A$10*input!$E$2))</f>
        <v>0.871010436227447</v>
      </c>
      <c r="AW339" s="54" t="n">
        <f aca="false">COS(AV339)</f>
        <v>0.644053912545845</v>
      </c>
      <c r="AX339" s="54" t="n">
        <f aca="false">0.99664719*SIN(AV339)</f>
        <v>0.762415269897027</v>
      </c>
      <c r="AY339" s="54" t="n">
        <f aca="false">6378.14/AU339</f>
        <v>0.0164775437417048</v>
      </c>
      <c r="AZ339" s="55" t="n">
        <f aca="false">M339-15*AH339</f>
        <v>65.1633742741184</v>
      </c>
      <c r="BA339" s="56" t="n">
        <f aca="false">COS($A$10*AG339)*SIN($A$10*AZ339)</f>
        <v>0.899566094042191</v>
      </c>
      <c r="BB339" s="56" t="n">
        <f aca="false">COS($A$10*AG339)*COS($A$10*AZ339)-AW339*AY339</f>
        <v>0.405743481000779</v>
      </c>
      <c r="BC339" s="56" t="n">
        <f aca="false">SIN($A$10*AG339)-AX339*AY339</f>
        <v>0.119454694881474</v>
      </c>
      <c r="BD339" s="57" t="n">
        <f aca="false">SQRT(BA339^2+BB339^2+BC339^2)</f>
        <v>0.994040418722588</v>
      </c>
      <c r="BE339" s="58" t="n">
        <f aca="false">AU339*BD339</f>
        <v>384773.91143101</v>
      </c>
    </row>
    <row r="340" customFormat="false" ht="15" hidden="false" customHeight="false" outlineLevel="0" collapsed="false">
      <c r="D340" s="41" t="n">
        <f aca="false">K340-INT(275*E340/9)+IF($A$8="common year",2,1)*INT((E340+9)/12)+30</f>
        <v>5</v>
      </c>
      <c r="E340" s="41" t="n">
        <f aca="false">IF(K340&lt;32,1,INT(9*(IF($A$8="common year",2,1)+K340)/275+0.98))</f>
        <v>12</v>
      </c>
      <c r="F340" s="42" t="n">
        <f aca="false">AM340</f>
        <v>31.8251914001752</v>
      </c>
      <c r="G340" s="60" t="n">
        <f aca="false">F340+1.02/(TAN($A$10*(F340+10.3/(F340+5.11)))*60)</f>
        <v>31.852287458691</v>
      </c>
      <c r="H340" s="43" t="n">
        <f aca="false">100*(1+COS($A$10*AQ340))/2</f>
        <v>90.3596801446528</v>
      </c>
      <c r="I340" s="43" t="n">
        <f aca="false">IF(AI340&gt;180,AT340-180,AT340+180)</f>
        <v>249.93945382711</v>
      </c>
      <c r="J340" s="61" t="n">
        <f aca="false">$J$2+K339</f>
        <v>2459918.5</v>
      </c>
      <c r="K340" s="21" t="n">
        <v>339</v>
      </c>
      <c r="L340" s="62" t="n">
        <f aca="false">(J340-2451545)/36525</f>
        <v>0.229253935660507</v>
      </c>
      <c r="M340" s="63" t="n">
        <f aca="false">MOD(280.46061837+360.98564736629*(J340-2451545)+0.000387933*L340^2-L340^3/38710000+$B$7,360)</f>
        <v>88.7788603873923</v>
      </c>
      <c r="N340" s="30" t="n">
        <f aca="false">0.606433+1336.855225*L340 - INT(0.606433+1336.855225*L340)</f>
        <v>0.0857547395619349</v>
      </c>
      <c r="O340" s="35" t="n">
        <f aca="false">22640*SIN(P340)-4586*SIN(P340-2*R340)+2370*SIN(2*R340)+769*SIN(2*P340)-668*SIN(Q340)-412*SIN(2*S340)-212*SIN(2*P340-2*R340)-206*SIN(P340+Q340-2*R340)+192*SIN(P340+2*R340)-165*SIN(Q340-2*R340)-125*SIN(R340)-110*SIN(P340+Q340)+148*SIN(P340-Q340)-55*SIN(2*S340-2*R340)</f>
        <v>20488.1544066984</v>
      </c>
      <c r="P340" s="32" t="n">
        <f aca="false">2*PI()*(0.374897+1325.55241*L340 - INT(0.374897+1325.55241*L340))</f>
        <v>1.65250234557568</v>
      </c>
      <c r="Q340" s="36" t="n">
        <f aca="false">2*PI()*(0.993133+99.997361*L340 - INT(0.993133+99.997361*L340))</f>
        <v>5.7674712898137</v>
      </c>
      <c r="R340" s="36" t="n">
        <f aca="false">2*PI()*(0.827361+1236.853086*L340 - INT(0.827361+1236.853086*L340))</f>
        <v>2.3926294210231</v>
      </c>
      <c r="S340" s="36" t="n">
        <f aca="false">2*PI()*(0.259086+1342.227825*L340 - INT(0.259086+1342.227825*L340))</f>
        <v>6.09530194567343</v>
      </c>
      <c r="T340" s="36" t="n">
        <f aca="false">S340+(O340+412*SIN(2*S340)+541*SIN(Q340))/206264.8062</f>
        <v>6.19260482121437</v>
      </c>
      <c r="U340" s="36" t="n">
        <f aca="false">S340-2*R340</f>
        <v>1.31004310362723</v>
      </c>
      <c r="V340" s="34" t="n">
        <f aca="false">-526*SIN(U340)+44*SIN(P340+U340)-31*SIN(-P340+U340)-23*SIN(Q340+U340)+11*SIN(-Q340+U340)-25*SIN(-2*P340+S340)+21*SIN(-P340+S340)</f>
        <v>-524.581132149012</v>
      </c>
      <c r="W340" s="36" t="n">
        <f aca="false">2*PI()*(N340+O340/1296000-INT(N340+O340/1296000))</f>
        <v>0.638142295207082</v>
      </c>
      <c r="X340" s="35" t="n">
        <f aca="false">W340*180/PI()</f>
        <v>36.5628602441572</v>
      </c>
      <c r="Y340" s="36" t="n">
        <f aca="false">(18520*SIN(T340)+V340)/206264.8062</f>
        <v>-0.0106651188455392</v>
      </c>
      <c r="Z340" s="36" t="n">
        <f aca="false">Y340*180/PI()</f>
        <v>-0.611066297854834</v>
      </c>
      <c r="AA340" s="36" t="n">
        <f aca="false">COS(Y340)*COS(W340)</f>
        <v>0.803158106359225</v>
      </c>
      <c r="AB340" s="36" t="n">
        <f aca="false">COS(Y340)*SIN(W340)</f>
        <v>0.595670475801876</v>
      </c>
      <c r="AC340" s="36" t="n">
        <f aca="false">SIN(Y340)</f>
        <v>-0.0106649166631252</v>
      </c>
      <c r="AD340" s="36" t="n">
        <f aca="false">COS($A$10*(23.4393-46.815*L340/3600))*AB340-SIN($A$10*(23.4393-46.815*L340/3600))*AC340</f>
        <v>0.550771020405774</v>
      </c>
      <c r="AE340" s="36" t="n">
        <f aca="false">SIN($A$10*(23.4393-46.815*L340/3600))*AB340+COS($A$10*(23.4393-46.815*L340/3600))*AC340</f>
        <v>0.227130665632467</v>
      </c>
      <c r="AF340" s="36" t="n">
        <f aca="false">SQRT(1-AE340*AE340)</f>
        <v>0.973864292768429</v>
      </c>
      <c r="AG340" s="35" t="n">
        <f aca="false">ATAN(AE340/AF340)/$A$10</f>
        <v>13.1282006707557</v>
      </c>
      <c r="AH340" s="36" t="n">
        <f aca="false">IF(24*ATAN(AD340/(AA340+AF340))/PI()&gt;0,24*ATAN(AD340/(AA340+AF340))/PI(),24*ATAN(AD340/(AA340+AF340))/PI()+24)</f>
        <v>2.29604271030304</v>
      </c>
      <c r="AI340" s="63" t="n">
        <f aca="false">IF(M340-15*AH340&gt;0,M340-15*AH340,360+M340-15*AH340)</f>
        <v>54.3382197328467</v>
      </c>
      <c r="AJ340" s="32" t="n">
        <f aca="false">0.950724+0.051818*COS(P340)+0.009531*COS(2*R340-P340)+0.007843*COS(2*R340)+0.002824*COS(2*P340)+0.000857*COS(2*R340+P340)+0.000533*COS(2*R340-Q340)*(1-0.002495*(J340-2415020)/36525)+0.000401*COS(2*R340-Q340-P340)*(1-0.002495*(J340-2415020)/36525)+0.00032*COS(P340-Q340)*(1-0.002495*(J340-2415020)/36525)-0.000271*COS(R340)</f>
        <v>0.935560183008681</v>
      </c>
      <c r="AK340" s="36" t="n">
        <f aca="false">ASIN(COS($A$10*$B$5)*COS($A$10*AG340)*COS($A$10*AI340)+SIN($A$10*$B$5)*SIN($A$10*AG340))/$A$10</f>
        <v>32.611695407047</v>
      </c>
      <c r="AL340" s="32" t="n">
        <f aca="false">ASIN((0.9983271+0.0016764*COS($A$10*2*$B$5))*COS($A$10*AK340)*SIN($A$10*AJ340))/$A$10</f>
        <v>0.786504006871813</v>
      </c>
      <c r="AM340" s="32" t="n">
        <f aca="false">AK340-AL340</f>
        <v>31.8251914001752</v>
      </c>
      <c r="AN340" s="35" t="n">
        <f aca="false"> MOD(280.4664567 + 360007.6982779*L340/10 + 0.03032028*L340^2/100 + L340^3/49931000,360)</f>
        <v>253.784642464654</v>
      </c>
      <c r="AO340" s="32" t="n">
        <f aca="false"> AN340 + (1.9146 - 0.004817*L340 - 0.000014*L340^2)*SIN(Q340)+ (0.019993 - 0.000101*L340)*SIN(2*Q340)+ 0.00029*SIN(3*Q340)</f>
        <v>252.82356599496</v>
      </c>
      <c r="AP340" s="32" t="n">
        <f aca="false">ACOS(COS(W340-$A$10*AO340)*COS(Y340))/$A$10</f>
        <v>143.734852169142</v>
      </c>
      <c r="AQ340" s="34" t="n">
        <f aca="false">180 - AP340 -0.1468*(1-0.0549*SIN(Q340))*SIN($A$10*AP340)/(1-0.0167*SIN($A$10*AO340))</f>
        <v>36.1773619093954</v>
      </c>
      <c r="AR340" s="64" t="n">
        <f aca="false">SIN($A$10*AI340)</f>
        <v>0.812472603290806</v>
      </c>
      <c r="AS340" s="64" t="n">
        <f aca="false">COS($A$10*AI340)*SIN($A$10*$B$5) - TAN($A$10*AG340)*COS($A$10*$B$5)</f>
        <v>0.296688520175961</v>
      </c>
      <c r="AT340" s="24" t="n">
        <f aca="false">IF(OR(AND(AR340*AS340&gt;0), AND(AR340&lt;0,AS340&gt;0)), MOD(ATAN2(AS340,AR340)/$A$10+360,360),  ATAN2(AS340,AR340)/$A$10)</f>
        <v>69.9394538271097</v>
      </c>
      <c r="AU340" s="39" t="n">
        <f aca="false"> 385000.56 + (-20905355*COS(P340) - 3699111*COS(2*R340-P340) - 2955968*COS(2*R340) - 569925*COS(2*P340) + (1-0.002516*L340)*48888*COS(Q340) - 3149*COS(2*S340)  +246158*COS(2*R340-2*P340) -(1 - 0.002516*L340)*152138*COS(2*R340-Q340-P340) -170733*COS(2*R340+P340) -(1 - 0.002516*L340)*204586*COS(2*R340-Q340) -(1 - 0.002516*L340)*129620*COS(Q340-P340)  + 108743*COS(R340) +(1-0.002516*L340)*104755*COS(Q340+P340) +10321*COS(2*R340-2*S340) +79661*COS(P340-2*S340) -34782*COS(4*R340-P340) -23210*COS(3*P340)  -21636*COS(4*R340-2*P340) +(1 - 0.002516*L340)*24208*COS(2*R340+Q340-P340) +(1 - 0.002516*L340)*30824*COS(2*R340+Q340) -8379*COS(R340-P340) -(1 - 0.002516*L340)*16675*COS(R340+Q340)  -(1 - 0.002516*L340)*12831*COS(2*R340-Q340+P340) -10445*COS(2*R340+2*P340) -11650*COS(4*R340) +14403*COS(2*R340-3*P340) -(1-0.002516*L340)*7003*COS(Q340-2*P340)  + (1 - 0.002516*L340)*10056*COS(2*R340-Q340-2*P340) +6322*COS(R340+P340) -(1 - 0.002516*L340)*(1-0.002516*L340)*9884*COS(2*R340-2*Q340) +(1-0.002516*L340)*5751*COS(Q340+2*P340) - (1-0.002516*L340)^2*4950*COS(2*R340-2*Q340-P340)  +4130*COS(2*R340+P340-2*S340) -(1-0.002516*L340)*3958*COS(4*R340-Q340-P340) +3258*COS(3*R340-P340) +(1 - 0.002516*L340)*2616*COS(2*R340+Q340+P340) -(1 - 0.002516*L340)*1897*COS(4*R340-Q340-2*P340)  -(1-0.002516*L340)^2*2117*COS(2*Q340-P340) +(1-0.002516*L340)^2*2354*COS(2*R340+2*Q340-P340) -1423*COS(4*R340+P340) -1117*COS(4*P340) -(1-0.002516*L340)*1571*COS(4*R340-Q340)  -1739*COS(R340-2*P340) -4421*COS(2*P340-2*S340) +(1-0.002516*L340)^2*1165*COS(2*Q340+P340) +8752*COS(2*R340-P340-2*S340))/1000</f>
        <v>390620.40701203</v>
      </c>
      <c r="AV340" s="54" t="n">
        <f aca="false">ATAN(0.99664719*TAN($A$10*input!$E$2))</f>
        <v>0.871010436227447</v>
      </c>
      <c r="AW340" s="54" t="n">
        <f aca="false">COS(AV340)</f>
        <v>0.644053912545845</v>
      </c>
      <c r="AX340" s="54" t="n">
        <f aca="false">0.99664719*SIN(AV340)</f>
        <v>0.762415269897027</v>
      </c>
      <c r="AY340" s="54" t="n">
        <f aca="false">6378.14/AU340</f>
        <v>0.0163282303881363</v>
      </c>
      <c r="AZ340" s="55" t="n">
        <f aca="false">M340-15*AH340</f>
        <v>54.3382197328467</v>
      </c>
      <c r="BA340" s="56" t="n">
        <f aca="false">COS($A$10*AG340)*SIN($A$10*AZ340)</f>
        <v>0.791238057197525</v>
      </c>
      <c r="BB340" s="56" t="n">
        <f aca="false">COS($A$10*AG340)*COS($A$10*AZ340)-AW340*AY340</f>
        <v>0.557246011390845</v>
      </c>
      <c r="BC340" s="56" t="n">
        <f aca="false">SIN($A$10*AG340)-AX340*AY340</f>
        <v>0.214681773454156</v>
      </c>
      <c r="BD340" s="57" t="n">
        <f aca="false">SQRT(BA340^2+BB340^2+BC340^2)</f>
        <v>0.991296647942553</v>
      </c>
      <c r="BE340" s="58" t="n">
        <f aca="false">AU340*BD340</f>
        <v>387220.700088981</v>
      </c>
    </row>
    <row r="341" customFormat="false" ht="15" hidden="false" customHeight="false" outlineLevel="0" collapsed="false">
      <c r="D341" s="41" t="n">
        <f aca="false">K341-INT(275*E341/9)+IF($A$8="common year",2,1)*INT((E341+9)/12)+30</f>
        <v>6</v>
      </c>
      <c r="E341" s="41" t="n">
        <f aca="false">IF(K341&lt;32,1,INT(9*(IF($A$8="common year",2,1)+K341)/275+0.98))</f>
        <v>12</v>
      </c>
      <c r="F341" s="42" t="n">
        <f aca="false">AM341</f>
        <v>42.3842804561281</v>
      </c>
      <c r="G341" s="60" t="n">
        <f aca="false">F341+1.02/(TAN($A$10*(F341+10.3/(F341+5.11)))*60)</f>
        <v>42.4027670733745</v>
      </c>
      <c r="H341" s="43" t="n">
        <f aca="false">100*(1+COS($A$10*AQ341))/2</f>
        <v>95.4603095222445</v>
      </c>
      <c r="I341" s="43" t="n">
        <f aca="false">IF(AI341&gt;180,AT341-180,AT341+180)</f>
        <v>242.973001081269</v>
      </c>
      <c r="J341" s="61" t="n">
        <f aca="false">$J$2+K340</f>
        <v>2459919.5</v>
      </c>
      <c r="K341" s="21" t="n">
        <v>340</v>
      </c>
      <c r="L341" s="62" t="n">
        <f aca="false">(J341-2451545)/36525</f>
        <v>0.229281314168378</v>
      </c>
      <c r="M341" s="63" t="n">
        <f aca="false">MOD(280.46061837+360.98564736629*(J341-2451545)+0.000387933*L341^2-L341^3/38710000+$B$7,360)</f>
        <v>89.7645077588968</v>
      </c>
      <c r="N341" s="30" t="n">
        <f aca="false">0.606433+1336.855225*L341 - INT(0.606433+1336.855225*L341)</f>
        <v>0.122355840862383</v>
      </c>
      <c r="O341" s="35" t="n">
        <f aca="false">22640*SIN(P341)-4586*SIN(P341-2*R341)+2370*SIN(2*R341)+769*SIN(2*P341)-668*SIN(Q341)-412*SIN(2*S341)-212*SIN(2*P341-2*R341)-206*SIN(P341+Q341-2*R341)+192*SIN(P341+2*R341)-165*SIN(Q341-2*R341)-125*SIN(R341)-110*SIN(P341+Q341)+148*SIN(P341-Q341)-55*SIN(2*S341-2*R341)</f>
        <v>18467.3135909919</v>
      </c>
      <c r="P341" s="32" t="n">
        <f aca="false">2*PI()*(0.374897+1325.55241*L341 - INT(0.374897+1325.55241*L341))</f>
        <v>1.8805294893515</v>
      </c>
      <c r="Q341" s="36" t="n">
        <f aca="false">2*PI()*(0.993133+99.997361*L341 - INT(0.993133+99.997361*L341))</f>
        <v>5.78467325968071</v>
      </c>
      <c r="R341" s="36" t="n">
        <f aca="false">2*PI()*(0.827361+1236.853086*L341 - INT(0.827361+1236.853086*L341))</f>
        <v>2.60539813114213</v>
      </c>
      <c r="S341" s="36" t="n">
        <f aca="false">2*PI()*(0.259086+1342.227825*L341 - INT(0.259086+1342.227825*L341))</f>
        <v>0.0430123578348514</v>
      </c>
      <c r="T341" s="36" t="n">
        <f aca="false">S341+(O341+412*SIN(2*S341)+541*SIN(Q341))/206264.8062</f>
        <v>0.131462006233549</v>
      </c>
      <c r="U341" s="36" t="n">
        <f aca="false">S341-2*R341</f>
        <v>-5.1677839044494</v>
      </c>
      <c r="V341" s="34" t="n">
        <f aca="false">-526*SIN(U341)+44*SIN(P341+U341)-31*SIN(-P341+U341)-23*SIN(Q341+U341)+11*SIN(-Q341+U341)-25*SIN(-2*P341+S341)+21*SIN(-P341+S341)</f>
        <v>-480.735531820817</v>
      </c>
      <c r="W341" s="36" t="n">
        <f aca="false">2*PI()*(N341+O341/1296000-INT(N341+O341/1296000))</f>
        <v>0.858316484376658</v>
      </c>
      <c r="X341" s="35" t="n">
        <f aca="false">W341*180/PI()</f>
        <v>49.177912041289</v>
      </c>
      <c r="Y341" s="36" t="n">
        <f aca="false">(18520*SIN(T341)+V341)/206264.8062</f>
        <v>0.00943900286357533</v>
      </c>
      <c r="Z341" s="36" t="n">
        <f aca="false">Y341*180/PI()</f>
        <v>0.540815026894765</v>
      </c>
      <c r="AA341" s="36" t="n">
        <f aca="false">COS(Y341)*COS(W341)</f>
        <v>0.653683261816388</v>
      </c>
      <c r="AB341" s="36" t="n">
        <f aca="false">COS(Y341)*SIN(W341)</f>
        <v>0.756709390117473</v>
      </c>
      <c r="AC341" s="36" t="n">
        <f aca="false">SIN(Y341)</f>
        <v>0.00943886270322689</v>
      </c>
      <c r="AD341" s="36" t="n">
        <f aca="false">COS($A$10*(23.4393-46.815*L341/3600))*AB341-SIN($A$10*(23.4393-46.815*L341/3600))*AC341</f>
        <v>0.690528793171031</v>
      </c>
      <c r="AE341" s="36" t="n">
        <f aca="false">SIN($A$10*(23.4393-46.815*L341/3600))*AB341+COS($A$10*(23.4393-46.815*L341/3600))*AC341</f>
        <v>0.30962586943414</v>
      </c>
      <c r="AF341" s="36" t="n">
        <f aca="false">SQRT(1-AE341*AE341)</f>
        <v>0.950858465270806</v>
      </c>
      <c r="AG341" s="35" t="n">
        <f aca="false">ATAN(AE341/AF341)/$A$10</f>
        <v>18.0366850992698</v>
      </c>
      <c r="AH341" s="36" t="n">
        <f aca="false">IF(24*ATAN(AD341/(AA341+AF341))/PI()&gt;0,24*ATAN(AD341/(AA341+AF341))/PI(),24*ATAN(AD341/(AA341+AF341))/PI()+24)</f>
        <v>3.10467420709764</v>
      </c>
      <c r="AI341" s="63" t="n">
        <f aca="false">IF(M341-15*AH341&gt;0,M341-15*AH341,360+M341-15*AH341)</f>
        <v>43.1943946524322</v>
      </c>
      <c r="AJ341" s="32" t="n">
        <f aca="false">0.950724+0.051818*COS(P341)+0.009531*COS(2*R341-P341)+0.007843*COS(2*R341)+0.002824*COS(2*P341)+0.000857*COS(2*R341+P341)+0.000533*COS(2*R341-Q341)*(1-0.002495*(J341-2415020)/36525)+0.000401*COS(2*R341-Q341-P341)*(1-0.002495*(J341-2415020)/36525)+0.00032*COS(P341-Q341)*(1-0.002495*(J341-2415020)/36525)-0.000271*COS(R341)</f>
        <v>0.927749230673683</v>
      </c>
      <c r="AK341" s="36" t="n">
        <f aca="false">ASIN(COS($A$10*$B$5)*COS($A$10*AG341)*COS($A$10*AI341)+SIN($A$10*$B$5)*SIN($A$10*AG341))/$A$10</f>
        <v>43.0607766189524</v>
      </c>
      <c r="AL341" s="32" t="n">
        <f aca="false">ASIN((0.9983271+0.0016764*COS($A$10*2*$B$5))*COS($A$10*AK341)*SIN($A$10*AJ341))/$A$10</f>
        <v>0.676496162824299</v>
      </c>
      <c r="AM341" s="32" t="n">
        <f aca="false">AK341-AL341</f>
        <v>42.3842804561281</v>
      </c>
      <c r="AN341" s="35" t="n">
        <f aca="false"> MOD(280.4664567 + 360007.6982779*L341/10 + 0.03032028*L341^2/100 + L341^3/49931000,360)</f>
        <v>254.770289828564</v>
      </c>
      <c r="AO341" s="32" t="n">
        <f aca="false"> AN341 + (1.9146 - 0.004817*L341 - 0.000014*L341^2)*SIN(Q341)+ (0.019993 - 0.000101*L341)*SIN(2*Q341)+ 0.00029*SIN(3*Q341)</f>
        <v>253.838350165638</v>
      </c>
      <c r="AP341" s="32" t="n">
        <f aca="false">ACOS(COS(W341-$A$10*AO341)*COS(Y341))/$A$10</f>
        <v>155.334003129777</v>
      </c>
      <c r="AQ341" s="34" t="n">
        <f aca="false">180 - AP341 -0.1468*(1-0.0549*SIN(Q341))*SIN($A$10*AP341)/(1-0.0167*SIN($A$10*AO341))</f>
        <v>24.604117593556</v>
      </c>
      <c r="AR341" s="64" t="n">
        <f aca="false">SIN($A$10*AI341)</f>
        <v>0.684475786361222</v>
      </c>
      <c r="AS341" s="64" t="n">
        <f aca="false">COS($A$10*AI341)*SIN($A$10*$B$5) - TAN($A$10*AG341)*COS($A$10*$B$5)</f>
        <v>0.349164205277272</v>
      </c>
      <c r="AT341" s="24" t="n">
        <f aca="false">IF(OR(AND(AR341*AS341&gt;0), AND(AR341&lt;0,AS341&gt;0)), MOD(ATAN2(AS341,AR341)/$A$10+360,360),  ATAN2(AS341,AR341)/$A$10)</f>
        <v>62.973001081269</v>
      </c>
      <c r="AU341" s="39" t="n">
        <f aca="false"> 385000.56 + (-20905355*COS(P341) - 3699111*COS(2*R341-P341) - 2955968*COS(2*R341) - 569925*COS(2*P341) + (1-0.002516*L341)*48888*COS(Q341) - 3149*COS(2*S341)  +246158*COS(2*R341-2*P341) -(1 - 0.002516*L341)*152138*COS(2*R341-Q341-P341) -170733*COS(2*R341+P341) -(1 - 0.002516*L341)*204586*COS(2*R341-Q341) -(1 - 0.002516*L341)*129620*COS(Q341-P341)  + 108743*COS(R341) +(1-0.002516*L341)*104755*COS(Q341+P341) +10321*COS(2*R341-2*S341) +79661*COS(P341-2*S341) -34782*COS(4*R341-P341) -23210*COS(3*P341)  -21636*COS(4*R341-2*P341) +(1 - 0.002516*L341)*24208*COS(2*R341+Q341-P341) +(1 - 0.002516*L341)*30824*COS(2*R341+Q341) -8379*COS(R341-P341) -(1 - 0.002516*L341)*16675*COS(R341+Q341)  -(1 - 0.002516*L341)*12831*COS(2*R341-Q341+P341) -10445*COS(2*R341+2*P341) -11650*COS(4*R341) +14403*COS(2*R341-3*P341) -(1-0.002516*L341)*7003*COS(Q341-2*P341)  + (1 - 0.002516*L341)*10056*COS(2*R341-Q341-2*P341) +6322*COS(R341+P341) -(1 - 0.002516*L341)*(1-0.002516*L341)*9884*COS(2*R341-2*Q341) +(1-0.002516*L341)*5751*COS(Q341+2*P341) - (1-0.002516*L341)^2*4950*COS(2*R341-2*Q341-P341)  +4130*COS(2*R341+P341-2*S341) -(1-0.002516*L341)*3958*COS(4*R341-Q341-P341) +3258*COS(3*R341-P341) +(1 - 0.002516*L341)*2616*COS(2*R341+Q341+P341) -(1 - 0.002516*L341)*1897*COS(4*R341-Q341-2*P341)  -(1-0.002516*L341)^2*2117*COS(2*Q341-P341) +(1-0.002516*L341)^2*2354*COS(2*R341+2*Q341-P341) -1423*COS(4*R341+P341) -1117*COS(4*P341) -(1-0.002516*L341)*1571*COS(4*R341-Q341)  -1739*COS(R341-2*P341) -4421*COS(2*P341-2*S341) +(1-0.002516*L341)^2*1165*COS(2*Q341+P341) +8752*COS(2*R341-P341-2*S341))/1000</f>
        <v>393938.036388963</v>
      </c>
      <c r="AV341" s="54" t="n">
        <f aca="false">ATAN(0.99664719*TAN($A$10*input!$E$2))</f>
        <v>0.871010436227447</v>
      </c>
      <c r="AW341" s="54" t="n">
        <f aca="false">COS(AV341)</f>
        <v>0.644053912545845</v>
      </c>
      <c r="AX341" s="54" t="n">
        <f aca="false">0.99664719*SIN(AV341)</f>
        <v>0.762415269897027</v>
      </c>
      <c r="AY341" s="54" t="n">
        <f aca="false">6378.14/AU341</f>
        <v>0.0161907188715903</v>
      </c>
      <c r="AZ341" s="55" t="n">
        <f aca="false">M341-15*AH341</f>
        <v>43.1943946524322</v>
      </c>
      <c r="BA341" s="56" t="n">
        <f aca="false">COS($A$10*AG341)*SIN($A$10*AZ341)</f>
        <v>0.65083959573446</v>
      </c>
      <c r="BB341" s="56" t="n">
        <f aca="false">COS($A$10*AG341)*COS($A$10*AZ341)-AW341*AY341</f>
        <v>0.682781970571726</v>
      </c>
      <c r="BC341" s="56" t="n">
        <f aca="false">SIN($A$10*AG341)-AX341*AY341</f>
        <v>0.29728181813583</v>
      </c>
      <c r="BD341" s="57" t="n">
        <f aca="false">SQRT(BA341^2+BB341^2+BC341^2)</f>
        <v>0.989019655066445</v>
      </c>
      <c r="BE341" s="58" t="n">
        <f aca="false">AU341*BD341</f>
        <v>389612.460866965</v>
      </c>
    </row>
    <row r="342" customFormat="false" ht="15" hidden="false" customHeight="false" outlineLevel="0" collapsed="false">
      <c r="D342" s="41" t="n">
        <f aca="false">K342-INT(275*E342/9)+IF($A$8="common year",2,1)*INT((E342+9)/12)+30</f>
        <v>7</v>
      </c>
      <c r="E342" s="41" t="n">
        <f aca="false">IF(K342&lt;32,1,INT(9*(IF($A$8="common year",2,1)+K342)/275+0.98))</f>
        <v>12</v>
      </c>
      <c r="F342" s="42" t="n">
        <f aca="false">AM342</f>
        <v>52.1347640479315</v>
      </c>
      <c r="G342" s="60" t="n">
        <f aca="false">F342+1.02/(TAN($A$10*(F342+10.3/(F342+5.11)))*60)</f>
        <v>52.1478961786848</v>
      </c>
      <c r="H342" s="43" t="n">
        <f aca="false">100*(1+COS($A$10*AQ342))/2</f>
        <v>98.6576838342849</v>
      </c>
      <c r="I342" s="43" t="n">
        <f aca="false">IF(AI342&gt;180,AT342-180,AT342+180)</f>
        <v>233.242381578141</v>
      </c>
      <c r="J342" s="61" t="n">
        <f aca="false">$J$2+K341</f>
        <v>2459920.5</v>
      </c>
      <c r="K342" s="21" t="n">
        <v>341</v>
      </c>
      <c r="L342" s="62" t="n">
        <f aca="false">(J342-2451545)/36525</f>
        <v>0.229308692676249</v>
      </c>
      <c r="M342" s="63" t="n">
        <f aca="false">MOD(280.46061837+360.98564736629*(J342-2451545)+0.000387933*L342^2-L342^3/38710000+$B$7,360)</f>
        <v>90.7501551299356</v>
      </c>
      <c r="N342" s="30" t="n">
        <f aca="false">0.606433+1336.855225*L342 - INT(0.606433+1336.855225*L342)</f>
        <v>0.158956942162888</v>
      </c>
      <c r="O342" s="35" t="n">
        <f aca="false">22640*SIN(P342)-4586*SIN(P342-2*R342)+2370*SIN(2*R342)+769*SIN(2*P342)-668*SIN(Q342)-412*SIN(2*S342)-212*SIN(2*P342-2*R342)-206*SIN(P342+Q342-2*R342)+192*SIN(P342+2*R342)-165*SIN(Q342-2*R342)-125*SIN(R342)-110*SIN(P342+Q342)+148*SIN(P342-Q342)-55*SIN(2*S342-2*R342)</f>
        <v>15799.9120869474</v>
      </c>
      <c r="P342" s="32" t="n">
        <f aca="false">2*PI()*(0.374897+1325.55241*L342 - INT(0.374897+1325.55241*L342))</f>
        <v>2.10855663312696</v>
      </c>
      <c r="Q342" s="36" t="n">
        <f aca="false">2*PI()*(0.993133+99.997361*L342 - INT(0.993133+99.997361*L342))</f>
        <v>5.8018752295477</v>
      </c>
      <c r="R342" s="36" t="n">
        <f aca="false">2*PI()*(0.827361+1236.853086*L342 - INT(0.827361+1236.853086*L342))</f>
        <v>2.81816684126115</v>
      </c>
      <c r="S342" s="36" t="n">
        <f aca="false">2*PI()*(0.259086+1342.227825*L342 - INT(0.259086+1342.227825*L342))</f>
        <v>0.273908077175856</v>
      </c>
      <c r="T342" s="36" t="n">
        <f aca="false">S342+(O342+412*SIN(2*S342)+541*SIN(Q342))/206264.8062</f>
        <v>0.350334303102537</v>
      </c>
      <c r="U342" s="36" t="n">
        <f aca="false">S342-2*R342</f>
        <v>-5.36242560534645</v>
      </c>
      <c r="V342" s="34" t="n">
        <f aca="false">-526*SIN(U342)+44*SIN(P342+U342)-31*SIN(-P342+U342)-23*SIN(Q342+U342)+11*SIN(-Q342+U342)-25*SIN(-2*P342+S342)+21*SIN(-P342+S342)</f>
        <v>-422.221215390986</v>
      </c>
      <c r="W342" s="36" t="n">
        <f aca="false">2*PI()*(N342+O342/1296000-INT(N342+O342/1296000))</f>
        <v>1.07535605887285</v>
      </c>
      <c r="X342" s="35" t="n">
        <f aca="false">W342*180/PI()</f>
        <v>61.6133636472362</v>
      </c>
      <c r="Y342" s="36" t="n">
        <f aca="false">(18520*SIN(T342)+V342)/206264.8062</f>
        <v>0.028769143244412</v>
      </c>
      <c r="Z342" s="36" t="n">
        <f aca="false">Y342*180/PI()</f>
        <v>1.64835048811211</v>
      </c>
      <c r="AA342" s="36" t="n">
        <f aca="false">COS(Y342)*COS(W342)</f>
        <v>0.475222297271606</v>
      </c>
      <c r="AB342" s="36" t="n">
        <f aca="false">COS(Y342)*SIN(W342)</f>
        <v>0.879395436018421</v>
      </c>
      <c r="AC342" s="36" t="n">
        <f aca="false">SIN(Y342)</f>
        <v>0.0287651748798469</v>
      </c>
      <c r="AD342" s="36" t="n">
        <f aca="false">COS($A$10*(23.4393-46.815*L342/3600))*AB342-SIN($A$10*(23.4393-46.815*L342/3600))*AC342</f>
        <v>0.79540692825412</v>
      </c>
      <c r="AE342" s="36" t="n">
        <f aca="false">SIN($A$10*(23.4393-46.815*L342/3600))*AB342+COS($A$10*(23.4393-46.815*L342/3600))*AC342</f>
        <v>0.376153674262584</v>
      </c>
      <c r="AF342" s="36" t="n">
        <f aca="false">SQRT(1-AE342*AE342)</f>
        <v>0.926557290910151</v>
      </c>
      <c r="AG342" s="35" t="n">
        <f aca="false">ATAN(AE342/AF342)/$A$10</f>
        <v>22.0956349085915</v>
      </c>
      <c r="AH342" s="36" t="n">
        <f aca="false">IF(24*ATAN(AD342/(AA342+AF342))/PI()&gt;0,24*ATAN(AD342/(AA342+AF342))/PI(),24*ATAN(AD342/(AA342+AF342))/PI()+24)</f>
        <v>3.94289684634497</v>
      </c>
      <c r="AI342" s="63" t="n">
        <f aca="false">IF(M342-15*AH342&gt;0,M342-15*AH342,360+M342-15*AH342)</f>
        <v>31.606702434761</v>
      </c>
      <c r="AJ342" s="32" t="n">
        <f aca="false">0.950724+0.051818*COS(P342)+0.009531*COS(2*R342-P342)+0.007843*COS(2*R342)+0.002824*COS(2*P342)+0.000857*COS(2*R342+P342)+0.000533*COS(2*R342-Q342)*(1-0.002495*(J342-2415020)/36525)+0.000401*COS(2*R342-Q342-P342)*(1-0.002495*(J342-2415020)/36525)+0.00032*COS(P342-Q342)*(1-0.002495*(J342-2415020)/36525)-0.000271*COS(R342)</f>
        <v>0.920613590033821</v>
      </c>
      <c r="AK342" s="36" t="n">
        <f aca="false">ASIN(COS($A$10*$B$5)*COS($A$10*AG342)*COS($A$10*AI342)+SIN($A$10*$B$5)*SIN($A$10*AG342))/$A$10</f>
        <v>52.6916409544776</v>
      </c>
      <c r="AL342" s="32" t="n">
        <f aca="false">ASIN((0.9983271+0.0016764*COS($A$10*2*$B$5))*COS($A$10*AK342)*SIN($A$10*AJ342))/$A$10</f>
        <v>0.556876906546038</v>
      </c>
      <c r="AM342" s="32" t="n">
        <f aca="false">AK342-AL342</f>
        <v>52.1347640479315</v>
      </c>
      <c r="AN342" s="35" t="n">
        <f aca="false"> MOD(280.4664567 + 360007.6982779*L342/10 + 0.03032028*L342^2/100 + L342^3/49931000,360)</f>
        <v>255.755937192476</v>
      </c>
      <c r="AO342" s="32" t="n">
        <f aca="false"> AN342 + (1.9146 - 0.004817*L342 - 0.000014*L342^2)*SIN(Q342)+ (0.019993 - 0.000101*L342)*SIN(2*Q342)+ 0.00029*SIN(3*Q342)</f>
        <v>254.853425664939</v>
      </c>
      <c r="AP342" s="32" t="n">
        <f aca="false">ACOS(COS(W342-$A$10*AO342)*COS(Y342))/$A$10</f>
        <v>166.659544125513</v>
      </c>
      <c r="AQ342" s="34" t="n">
        <f aca="false">180 - AP342 -0.1468*(1-0.0549*SIN(Q342))*SIN($A$10*AP342)/(1-0.0167*SIN($A$10*AO342))</f>
        <v>13.3062738407792</v>
      </c>
      <c r="AR342" s="64" t="n">
        <f aca="false">SIN($A$10*AI342)</f>
        <v>0.524085537021978</v>
      </c>
      <c r="AS342" s="64" t="n">
        <f aca="false">COS($A$10*AI342)*SIN($A$10*$B$5) - TAN($A$10*AG342)*COS($A$10*$B$5)</f>
        <v>0.391461786851643</v>
      </c>
      <c r="AT342" s="24" t="n">
        <f aca="false">IF(OR(AND(AR342*AS342&gt;0), AND(AR342&lt;0,AS342&gt;0)), MOD(ATAN2(AS342,AR342)/$A$10+360,360),  ATAN2(AS342,AR342)/$A$10)</f>
        <v>53.2423815781415</v>
      </c>
      <c r="AU342" s="39" t="n">
        <f aca="false"> 385000.56 + (-20905355*COS(P342) - 3699111*COS(2*R342-P342) - 2955968*COS(2*R342) - 569925*COS(2*P342) + (1-0.002516*L342)*48888*COS(Q342) - 3149*COS(2*S342)  +246158*COS(2*R342-2*P342) -(1 - 0.002516*L342)*152138*COS(2*R342-Q342-P342) -170733*COS(2*R342+P342) -(1 - 0.002516*L342)*204586*COS(2*R342-Q342) -(1 - 0.002516*L342)*129620*COS(Q342-P342)  + 108743*COS(R342) +(1-0.002516*L342)*104755*COS(Q342+P342) +10321*COS(2*R342-2*S342) +79661*COS(P342-2*S342) -34782*COS(4*R342-P342) -23210*COS(3*P342)  -21636*COS(4*R342-2*P342) +(1 - 0.002516*L342)*24208*COS(2*R342+Q342-P342) +(1 - 0.002516*L342)*30824*COS(2*R342+Q342) -8379*COS(R342-P342) -(1 - 0.002516*L342)*16675*COS(R342+Q342)  -(1 - 0.002516*L342)*12831*COS(2*R342-Q342+P342) -10445*COS(2*R342+2*P342) -11650*COS(4*R342) +14403*COS(2*R342-3*P342) -(1-0.002516*L342)*7003*COS(Q342-2*P342)  + (1 - 0.002516*L342)*10056*COS(2*R342-Q342-2*P342) +6322*COS(R342+P342) -(1 - 0.002516*L342)*(1-0.002516*L342)*9884*COS(2*R342-2*Q342) +(1-0.002516*L342)*5751*COS(Q342+2*P342) - (1-0.002516*L342)^2*4950*COS(2*R342-2*Q342-P342)  +4130*COS(2*R342+P342-2*S342) -(1-0.002516*L342)*3958*COS(4*R342-Q342-P342) +3258*COS(3*R342-P342) +(1 - 0.002516*L342)*2616*COS(2*R342+Q342+P342) -(1 - 0.002516*L342)*1897*COS(4*R342-Q342-2*P342)  -(1-0.002516*L342)^2*2117*COS(2*Q342-P342) +(1-0.002516*L342)^2*2354*COS(2*R342+2*Q342-P342) -1423*COS(4*R342+P342) -1117*COS(4*P342) -(1-0.002516*L342)*1571*COS(4*R342-Q342)  -1739*COS(R342-2*P342) -4421*COS(2*P342-2*S342) +(1-0.002516*L342)^2*1165*COS(2*Q342+P342) +8752*COS(2*R342-P342-2*S342))/1000</f>
        <v>397010.078468076</v>
      </c>
      <c r="AV342" s="54" t="n">
        <f aca="false">ATAN(0.99664719*TAN($A$10*input!$E$2))</f>
        <v>0.871010436227447</v>
      </c>
      <c r="AW342" s="54" t="n">
        <f aca="false">COS(AV342)</f>
        <v>0.644053912545845</v>
      </c>
      <c r="AX342" s="54" t="n">
        <f aca="false">0.99664719*SIN(AV342)</f>
        <v>0.762415269897027</v>
      </c>
      <c r="AY342" s="54" t="n">
        <f aca="false">6378.14/AU342</f>
        <v>0.0160654359824089</v>
      </c>
      <c r="AZ342" s="55" t="n">
        <f aca="false">M342-15*AH342</f>
        <v>31.606702434761</v>
      </c>
      <c r="BA342" s="56" t="n">
        <f aca="false">COS($A$10*AG342)*SIN($A$10*AZ342)</f>
        <v>0.485595275388275</v>
      </c>
      <c r="BB342" s="56" t="n">
        <f aca="false">COS($A$10*AG342)*COS($A$10*AZ342)-AW342*AY342</f>
        <v>0.778769994473946</v>
      </c>
      <c r="BC342" s="56" t="n">
        <f aca="false">SIN($A$10*AG342)-AX342*AY342</f>
        <v>0.363905140552043</v>
      </c>
      <c r="BD342" s="57" t="n">
        <f aca="false">SQRT(BA342^2+BB342^2+BC342^2)</f>
        <v>0.987275253965462</v>
      </c>
      <c r="BE342" s="58" t="n">
        <f aca="false">AU342*BD342</f>
        <v>391958.226046417</v>
      </c>
    </row>
    <row r="343" customFormat="false" ht="15" hidden="false" customHeight="false" outlineLevel="0" collapsed="false">
      <c r="D343" s="41" t="n">
        <f aca="false">K343-INT(275*E343/9)+IF($A$8="common year",2,1)*INT((E343+9)/12)+30</f>
        <v>8</v>
      </c>
      <c r="E343" s="41" t="n">
        <f aca="false">IF(K343&lt;32,1,INT(9*(IF($A$8="common year",2,1)+K343)/275+0.98))</f>
        <v>12</v>
      </c>
      <c r="F343" s="42" t="n">
        <f aca="false">AM343</f>
        <v>60.4252322795228</v>
      </c>
      <c r="G343" s="60" t="n">
        <f aca="false">F343+1.02/(TAN($A$10*(F343+10.3/(F343+5.11)))*60)</f>
        <v>60.4348181685752</v>
      </c>
      <c r="H343" s="43" t="n">
        <f aca="false">100*(1+COS($A$10*AQ343))/2</f>
        <v>99.9167421633826</v>
      </c>
      <c r="I343" s="43" t="n">
        <f aca="false">IF(AI343&gt;180,AT343-180,AT343+180)</f>
        <v>218.514968532574</v>
      </c>
      <c r="J343" s="61" t="n">
        <f aca="false">$J$2+K342</f>
        <v>2459921.5</v>
      </c>
      <c r="K343" s="21" t="n">
        <v>342</v>
      </c>
      <c r="L343" s="62" t="n">
        <f aca="false">(J343-2451545)/36525</f>
        <v>0.22933607118412</v>
      </c>
      <c r="M343" s="63" t="n">
        <f aca="false">MOD(280.46061837+360.98564736629*(J343-2451545)+0.000387933*L343^2-L343^3/38710000+$B$7,360)</f>
        <v>91.7358025009744</v>
      </c>
      <c r="N343" s="30" t="n">
        <f aca="false">0.606433+1336.855225*L343 - INT(0.606433+1336.855225*L343)</f>
        <v>0.195558043463393</v>
      </c>
      <c r="O343" s="35" t="n">
        <f aca="false">22640*SIN(P343)-4586*SIN(P343-2*R343)+2370*SIN(2*R343)+769*SIN(2*P343)-668*SIN(Q343)-412*SIN(2*S343)-212*SIN(2*P343-2*R343)-206*SIN(P343+Q343-2*R343)+192*SIN(P343+2*R343)-165*SIN(Q343-2*R343)-125*SIN(R343)-110*SIN(P343+Q343)+148*SIN(P343-Q343)-55*SIN(2*S343-2*R343)</f>
        <v>12566.6333606054</v>
      </c>
      <c r="P343" s="32" t="n">
        <f aca="false">2*PI()*(0.374897+1325.55241*L343 - INT(0.374897+1325.55241*L343))</f>
        <v>2.33658377690278</v>
      </c>
      <c r="Q343" s="36" t="n">
        <f aca="false">2*PI()*(0.993133+99.997361*L343 - INT(0.993133+99.997361*L343))</f>
        <v>5.8190771994147</v>
      </c>
      <c r="R343" s="36" t="n">
        <f aca="false">2*PI()*(0.827361+1236.853086*L343 - INT(0.827361+1236.853086*L343))</f>
        <v>3.03093555138018</v>
      </c>
      <c r="S343" s="36" t="n">
        <f aca="false">2*PI()*(0.259086+1342.227825*L343 - INT(0.259086+1342.227825*L343))</f>
        <v>0.50480379651686</v>
      </c>
      <c r="T343" s="36" t="n">
        <f aca="false">S343+(O343+412*SIN(2*S343)+541*SIN(Q343))/206264.8062</f>
        <v>0.566245575860589</v>
      </c>
      <c r="U343" s="36" t="n">
        <f aca="false">S343-2*R343</f>
        <v>-5.55706730624349</v>
      </c>
      <c r="V343" s="34" t="n">
        <f aca="false">-526*SIN(U343)+44*SIN(P343+U343)-31*SIN(-P343+U343)-23*SIN(Q343+U343)+11*SIN(-Q343+U343)-25*SIN(-2*P343+S343)+21*SIN(-P343+S343)</f>
        <v>-352.230190025451</v>
      </c>
      <c r="W343" s="36" t="n">
        <f aca="false">2*PI()*(N343+O343/1296000-INT(N343+O343/1296000))</f>
        <v>1.28965218317707</v>
      </c>
      <c r="X343" s="35" t="n">
        <f aca="false">W343*180/PI()</f>
        <v>73.8916271358785</v>
      </c>
      <c r="Y343" s="36" t="n">
        <f aca="false">(18520*SIN(T343)+V343)/206264.8062</f>
        <v>0.04646040314214</v>
      </c>
      <c r="Z343" s="36" t="n">
        <f aca="false">Y343*180/PI()</f>
        <v>2.66198501452097</v>
      </c>
      <c r="AA343" s="36" t="n">
        <f aca="false">COS(Y343)*COS(W343)</f>
        <v>0.277155653802228</v>
      </c>
      <c r="AB343" s="36" t="n">
        <f aca="false">COS(Y343)*SIN(W343)</f>
        <v>0.959701894964535</v>
      </c>
      <c r="AC343" s="36" t="n">
        <f aca="false">SIN(Y343)</f>
        <v>0.0464436902812446</v>
      </c>
      <c r="AD343" s="36" t="n">
        <f aca="false">COS($A$10*(23.4393-46.815*L343/3600))*AB343-SIN($A$10*(23.4393-46.815*L343/3600))*AC343</f>
        <v>0.862057055995631</v>
      </c>
      <c r="AE343" s="36" t="n">
        <f aca="false">SIN($A$10*(23.4393-46.815*L343/3600))*AB343+COS($A$10*(23.4393-46.815*L343/3600))*AC343</f>
        <v>0.424314006101147</v>
      </c>
      <c r="AF343" s="36" t="n">
        <f aca="false">SQRT(1-AE343*AE343)</f>
        <v>0.905515115404705</v>
      </c>
      <c r="AG343" s="35" t="n">
        <f aca="false">ATAN(AE343/AF343)/$A$10</f>
        <v>25.1072499596803</v>
      </c>
      <c r="AH343" s="36" t="n">
        <f aca="false">IF(24*ATAN(AD343/(AA343+AF343))/PI()&gt;0,24*ATAN(AD343/(AA343+AF343))/PI(),24*ATAN(AD343/(AA343+AF343))/PI()+24)</f>
        <v>4.81180947988653</v>
      </c>
      <c r="AI343" s="63" t="n">
        <f aca="false">IF(M343-15*AH343&gt;0,M343-15*AH343,360+M343-15*AH343)</f>
        <v>19.5586603026764</v>
      </c>
      <c r="AJ343" s="32" t="n">
        <f aca="false">0.950724+0.051818*COS(P343)+0.009531*COS(2*R343-P343)+0.007843*COS(2*R343)+0.002824*COS(2*P343)+0.000857*COS(2*R343+P343)+0.000533*COS(2*R343-Q343)*(1-0.002495*(J343-2415020)/36525)+0.000401*COS(2*R343-Q343-P343)*(1-0.002495*(J343-2415020)/36525)+0.00032*COS(P343-Q343)*(1-0.002495*(J343-2415020)/36525)-0.000271*COS(R343)</f>
        <v>0.914237584210332</v>
      </c>
      <c r="AK343" s="36" t="n">
        <f aca="false">ASIN(COS($A$10*$B$5)*COS($A$10*AG343)*COS($A$10*AI343)+SIN($A$10*$B$5)*SIN($A$10*AG343))/$A$10</f>
        <v>60.8693964979707</v>
      </c>
      <c r="AL343" s="32" t="n">
        <f aca="false">ASIN((0.9983271+0.0016764*COS($A$10*2*$B$5))*COS($A$10*AK343)*SIN($A$10*AJ343))/$A$10</f>
        <v>0.444164218447826</v>
      </c>
      <c r="AM343" s="32" t="n">
        <f aca="false">AK343-AL343</f>
        <v>60.4252322795228</v>
      </c>
      <c r="AN343" s="35" t="n">
        <f aca="false"> MOD(280.4664567 + 360007.6982779*L343/10 + 0.03032028*L343^2/100 + L343^3/49931000,360)</f>
        <v>256.741584556388</v>
      </c>
      <c r="AO343" s="32" t="n">
        <f aca="false"> AN343 + (1.9146 - 0.004817*L343 - 0.000014*L343^2)*SIN(Q343)+ (0.019993 - 0.000101*L343)*SIN(2*Q343)+ 0.00029*SIN(3*Q343)</f>
        <v>255.868783441682</v>
      </c>
      <c r="AP343" s="32" t="n">
        <f aca="false">ACOS(COS(W343-$A$10*AO343)*COS(Y343))/$A$10</f>
        <v>176.684506382792</v>
      </c>
      <c r="AQ343" s="34" t="n">
        <f aca="false">180 - AP343 -0.1468*(1-0.0549*SIN(Q343))*SIN($A$10*AP343)/(1-0.0167*SIN($A$10*AO343))</f>
        <v>3.30693357475771</v>
      </c>
      <c r="AR343" s="64" t="n">
        <f aca="false">SIN($A$10*AI343)</f>
        <v>0.334771775013263</v>
      </c>
      <c r="AS343" s="64" t="n">
        <f aca="false">COS($A$10*AI343)*SIN($A$10*$B$5) - TAN($A$10*AG343)*COS($A$10*$B$5)</f>
        <v>0.420640189230007</v>
      </c>
      <c r="AT343" s="24" t="n">
        <f aca="false">IF(OR(AND(AR343*AS343&gt;0), AND(AR343&lt;0,AS343&gt;0)), MOD(ATAN2(AS343,AR343)/$A$10+360,360),  ATAN2(AS343,AR343)/$A$10)</f>
        <v>38.5149685325742</v>
      </c>
      <c r="AU343" s="39" t="n">
        <f aca="false"> 385000.56 + (-20905355*COS(P343) - 3699111*COS(2*R343-P343) - 2955968*COS(2*R343) - 569925*COS(2*P343) + (1-0.002516*L343)*48888*COS(Q343) - 3149*COS(2*S343)  +246158*COS(2*R343-2*P343) -(1 - 0.002516*L343)*152138*COS(2*R343-Q343-P343) -170733*COS(2*R343+P343) -(1 - 0.002516*L343)*204586*COS(2*R343-Q343) -(1 - 0.002516*L343)*129620*COS(Q343-P343)  + 108743*COS(R343) +(1-0.002516*L343)*104755*COS(Q343+P343) +10321*COS(2*R343-2*S343) +79661*COS(P343-2*S343) -34782*COS(4*R343-P343) -23210*COS(3*P343)  -21636*COS(4*R343-2*P343) +(1 - 0.002516*L343)*24208*COS(2*R343+Q343-P343) +(1 - 0.002516*L343)*30824*COS(2*R343+Q343) -8379*COS(R343-P343) -(1 - 0.002516*L343)*16675*COS(R343+Q343)  -(1 - 0.002516*L343)*12831*COS(2*R343-Q343+P343) -10445*COS(2*R343+2*P343) -11650*COS(4*R343) +14403*COS(2*R343-3*P343) -(1-0.002516*L343)*7003*COS(Q343-2*P343)  + (1 - 0.002516*L343)*10056*COS(2*R343-Q343-2*P343) +6322*COS(R343+P343) -(1 - 0.002516*L343)*(1-0.002516*L343)*9884*COS(2*R343-2*Q343) +(1-0.002516*L343)*5751*COS(Q343+2*P343) - (1-0.002516*L343)^2*4950*COS(2*R343-2*Q343-P343)  +4130*COS(2*R343+P343-2*S343) -(1-0.002516*L343)*3958*COS(4*R343-Q343-P343) +3258*COS(3*R343-P343) +(1 - 0.002516*L343)*2616*COS(2*R343+Q343+P343) -(1 - 0.002516*L343)*1897*COS(4*R343-Q343-2*P343)  -(1-0.002516*L343)^2*2117*COS(2*Q343-P343) +(1-0.002516*L343)^2*2354*COS(2*R343+2*Q343-P343) -1423*COS(4*R343+P343) -1117*COS(4*P343) -(1-0.002516*L343)*1571*COS(4*R343-Q343)  -1739*COS(R343-2*P343) -4421*COS(2*P343-2*S343) +(1-0.002516*L343)^2*1165*COS(2*Q343+P343) +8752*COS(2*R343-P343-2*S343))/1000</f>
        <v>399790.421542885</v>
      </c>
      <c r="AV343" s="54" t="n">
        <f aca="false">ATAN(0.99664719*TAN($A$10*input!$E$2))</f>
        <v>0.871010436227447</v>
      </c>
      <c r="AW343" s="54" t="n">
        <f aca="false">COS(AV343)</f>
        <v>0.644053912545845</v>
      </c>
      <c r="AX343" s="54" t="n">
        <f aca="false">0.99664719*SIN(AV343)</f>
        <v>0.762415269897027</v>
      </c>
      <c r="AY343" s="54" t="n">
        <f aca="false">6378.14/AU343</f>
        <v>0.015953708884233</v>
      </c>
      <c r="AZ343" s="55" t="n">
        <f aca="false">M343-15*AH343</f>
        <v>19.5586603026764</v>
      </c>
      <c r="BA343" s="56" t="n">
        <f aca="false">COS($A$10*AG343)*SIN($A$10*AZ343)</f>
        <v>0.303140902485373</v>
      </c>
      <c r="BB343" s="56" t="n">
        <f aca="false">COS($A$10*AG343)*COS($A$10*AZ343)-AW343*AY343</f>
        <v>0.842991156884264</v>
      </c>
      <c r="BC343" s="56" t="n">
        <f aca="false">SIN($A$10*AG343)-AX343*AY343</f>
        <v>0.412150654836316</v>
      </c>
      <c r="BD343" s="57" t="n">
        <f aca="false">SQRT(BA343^2+BB343^2+BC343^2)</f>
        <v>0.986101749124663</v>
      </c>
      <c r="BE343" s="58" t="n">
        <f aca="false">AU343*BD343</f>
        <v>394234.033966725</v>
      </c>
    </row>
    <row r="344" customFormat="false" ht="15" hidden="false" customHeight="false" outlineLevel="0" collapsed="false">
      <c r="D344" s="41" t="n">
        <f aca="false">K344-INT(275*E344/9)+IF($A$8="common year",2,1)*INT((E344+9)/12)+30</f>
        <v>9</v>
      </c>
      <c r="E344" s="41" t="n">
        <f aca="false">IF(K344&lt;32,1,INT(9*(IF($A$8="common year",2,1)+K344)/275+0.98))</f>
        <v>12</v>
      </c>
      <c r="F344" s="42" t="n">
        <f aca="false">AM344</f>
        <v>65.9053125890748</v>
      </c>
      <c r="G344" s="60" t="n">
        <f aca="false">F344+1.02/(TAN($A$10*(F344+10.3/(F344+5.11)))*60)</f>
        <v>65.9128635825951</v>
      </c>
      <c r="H344" s="43" t="n">
        <f aca="false">100*(1+COS($A$10*AQ344))/2</f>
        <v>99.2733207780321</v>
      </c>
      <c r="I344" s="43" t="n">
        <f aca="false">IF(AI344&gt;180,AT344-180,AT344+180)</f>
        <v>196.034745882476</v>
      </c>
      <c r="J344" s="61" t="n">
        <f aca="false">$J$2+K343</f>
        <v>2459922.5</v>
      </c>
      <c r="K344" s="21" t="n">
        <v>343</v>
      </c>
      <c r="L344" s="62" t="n">
        <f aca="false">(J344-2451545)/36525</f>
        <v>0.229363449691992</v>
      </c>
      <c r="M344" s="63" t="n">
        <f aca="false">MOD(280.46061837+360.98564736629*(J344-2451545)+0.000387933*L344^2-L344^3/38710000+$B$7,360)</f>
        <v>92.7214498720132</v>
      </c>
      <c r="N344" s="30" t="n">
        <f aca="false">0.606433+1336.855225*L344 - INT(0.606433+1336.855225*L344)</f>
        <v>0.232159144763841</v>
      </c>
      <c r="O344" s="35" t="n">
        <f aca="false">22640*SIN(P344)-4586*SIN(P344-2*R344)+2370*SIN(2*R344)+769*SIN(2*P344)-668*SIN(Q344)-412*SIN(2*S344)-212*SIN(2*P344-2*R344)-206*SIN(P344+Q344-2*R344)+192*SIN(P344+2*R344)-165*SIN(Q344-2*R344)-125*SIN(R344)-110*SIN(P344+Q344)+148*SIN(P344-Q344)-55*SIN(2*S344-2*R344)</f>
        <v>8845.7377008576</v>
      </c>
      <c r="P344" s="32" t="n">
        <f aca="false">2*PI()*(0.374897+1325.55241*L344 - INT(0.374897+1325.55241*L344))</f>
        <v>2.5646109206786</v>
      </c>
      <c r="Q344" s="36" t="n">
        <f aca="false">2*PI()*(0.993133+99.997361*L344 - INT(0.993133+99.997361*L344))</f>
        <v>5.83627916928169</v>
      </c>
      <c r="R344" s="36" t="n">
        <f aca="false">2*PI()*(0.827361+1236.853086*L344 - INT(0.827361+1236.853086*L344))</f>
        <v>3.24370426149884</v>
      </c>
      <c r="S344" s="36" t="n">
        <f aca="false">2*PI()*(0.259086+1342.227825*L344 - INT(0.259086+1342.227825*L344))</f>
        <v>0.735699515857864</v>
      </c>
      <c r="T344" s="36" t="n">
        <f aca="false">S344+(O344+412*SIN(2*S344)+541*SIN(Q344))/206264.8062</f>
        <v>0.779438902224605</v>
      </c>
      <c r="U344" s="36" t="n">
        <f aca="false">S344-2*R344</f>
        <v>-5.75170900713982</v>
      </c>
      <c r="V344" s="34" t="n">
        <f aca="false">-526*SIN(U344)+44*SIN(P344+U344)-31*SIN(-P344+U344)-23*SIN(Q344+U344)+11*SIN(-Q344+U344)-25*SIN(-2*P344+S344)+21*SIN(-P344+S344)</f>
        <v>-273.69468787315</v>
      </c>
      <c r="W344" s="36" t="n">
        <f aca="false">2*PI()*(N344+O344/1296000-INT(N344+O344/1296000))</f>
        <v>1.50158427387637</v>
      </c>
      <c r="X344" s="35" t="n">
        <f aca="false">W344*180/PI()</f>
        <v>86.0344414763322</v>
      </c>
      <c r="Y344" s="36" t="n">
        <f aca="false">(18520*SIN(T344)+V344)/206264.8062</f>
        <v>0.0617829617212044</v>
      </c>
      <c r="Z344" s="36" t="n">
        <f aca="false">Y344*180/PI()</f>
        <v>3.53990295244333</v>
      </c>
      <c r="AA344" s="36" t="n">
        <f aca="false">COS(Y344)*COS(W344)</f>
        <v>0.0690248598727331</v>
      </c>
      <c r="AB344" s="36" t="n">
        <f aca="false">COS(Y344)*SIN(W344)</f>
        <v>0.995702409722666</v>
      </c>
      <c r="AC344" s="36" t="n">
        <f aca="false">SIN(Y344)</f>
        <v>0.0617436635779373</v>
      </c>
      <c r="AD344" s="36" t="n">
        <f aca="false">COS($A$10*(23.4393-46.815*L344/3600))*AB344-SIN($A$10*(23.4393-46.815*L344/3600))*AC344</f>
        <v>0.889002377078869</v>
      </c>
      <c r="AE344" s="36" t="n">
        <f aca="false">SIN($A$10*(23.4393-46.815*L344/3600))*AB344+COS($A$10*(23.4393-46.815*L344/3600))*AC344</f>
        <v>0.452670235676778</v>
      </c>
      <c r="AF344" s="36" t="n">
        <f aca="false">SQRT(1-AE344*AE344)</f>
        <v>0.891678001148582</v>
      </c>
      <c r="AG344" s="35" t="n">
        <f aca="false">ATAN(AE344/AF344)/$A$10</f>
        <v>26.9151329988745</v>
      </c>
      <c r="AH344" s="36" t="n">
        <f aca="false">IF(24*ATAN(AD344/(AA344+AF344))/PI()&gt;0,24*ATAN(AD344/(AA344+AF344))/PI(),24*ATAN(AD344/(AA344+AF344))/PI()+24)</f>
        <v>5.70401919327995</v>
      </c>
      <c r="AI344" s="63" t="n">
        <f aca="false">IF(M344-15*AH344&gt;0,M344-15*AH344,360+M344-15*AH344)</f>
        <v>7.16116197281393</v>
      </c>
      <c r="AJ344" s="32" t="n">
        <f aca="false">0.950724+0.051818*COS(P344)+0.009531*COS(2*R344-P344)+0.007843*COS(2*R344)+0.002824*COS(2*P344)+0.000857*COS(2*R344+P344)+0.000533*COS(2*R344-Q344)*(1-0.002495*(J344-2415020)/36525)+0.000401*COS(2*R344-Q344-P344)*(1-0.002495*(J344-2415020)/36525)+0.00032*COS(P344-Q344)*(1-0.002495*(J344-2415020)/36525)-0.000271*COS(R344)</f>
        <v>0.908793822086069</v>
      </c>
      <c r="AK344" s="36" t="n">
        <f aca="false">ASIN(COS($A$10*$B$5)*COS($A$10*AG344)*COS($A$10*AI344)+SIN($A$10*$B$5)*SIN($A$10*AG344))/$A$10</f>
        <v>66.2703004351969</v>
      </c>
      <c r="AL344" s="32" t="n">
        <f aca="false">ASIN((0.9983271+0.0016764*COS($A$10*2*$B$5))*COS($A$10*AK344)*SIN($A$10*AJ344))/$A$10</f>
        <v>0.36498784612212</v>
      </c>
      <c r="AM344" s="32" t="n">
        <f aca="false">AK344-AL344</f>
        <v>65.9053125890748</v>
      </c>
      <c r="AN344" s="35" t="n">
        <f aca="false"> MOD(280.4664567 + 360007.6982779*L344/10 + 0.03032028*L344^2/100 + L344^3/49931000,360)</f>
        <v>257.727231920298</v>
      </c>
      <c r="AO344" s="32" t="n">
        <f aca="false"> AN344 + (1.9146 - 0.004817*L344 - 0.000014*L344^2)*SIN(Q344)+ (0.019993 - 0.000101*L344)*SIN(2*Q344)+ 0.00029*SIN(3*Q344)</f>
        <v>256.884414342135</v>
      </c>
      <c r="AP344" s="32" t="n">
        <f aca="false">ACOS(COS(W344-$A$10*AO344)*COS(Y344))/$A$10</f>
        <v>170.194533483185</v>
      </c>
      <c r="AQ344" s="34" t="n">
        <f aca="false">180 - AP344 -0.1468*(1-0.0549*SIN(Q344))*SIN($A$10*AP344)/(1-0.0167*SIN($A$10*AO344))</f>
        <v>9.78028238783655</v>
      </c>
      <c r="AR344" s="64" t="n">
        <f aca="false">SIN($A$10*AI344)</f>
        <v>0.124660698433354</v>
      </c>
      <c r="AS344" s="64" t="n">
        <f aca="false">COS($A$10*AI344)*SIN($A$10*$B$5) - TAN($A$10*AG344)*COS($A$10*$B$5)</f>
        <v>0.433750594794254</v>
      </c>
      <c r="AT344" s="24" t="n">
        <f aca="false">IF(OR(AND(AR344*AS344&gt;0), AND(AR344&lt;0,AS344&gt;0)), MOD(ATAN2(AS344,AR344)/$A$10+360,360),  ATAN2(AS344,AR344)/$A$10)</f>
        <v>16.0347458824763</v>
      </c>
      <c r="AU344" s="39" t="n">
        <f aca="false"> 385000.56 + (-20905355*COS(P344) - 3699111*COS(2*R344-P344) - 2955968*COS(2*R344) - 569925*COS(2*P344) + (1-0.002516*L344)*48888*COS(Q344) - 3149*COS(2*S344)  +246158*COS(2*R344-2*P344) -(1 - 0.002516*L344)*152138*COS(2*R344-Q344-P344) -170733*COS(2*R344+P344) -(1 - 0.002516*L344)*204586*COS(2*R344-Q344) -(1 - 0.002516*L344)*129620*COS(Q344-P344)  + 108743*COS(R344) +(1-0.002516*L344)*104755*COS(Q344+P344) +10321*COS(2*R344-2*S344) +79661*COS(P344-2*S344) -34782*COS(4*R344-P344) -23210*COS(3*P344)  -21636*COS(4*R344-2*P344) +(1 - 0.002516*L344)*24208*COS(2*R344+Q344-P344) +(1 - 0.002516*L344)*30824*COS(2*R344+Q344) -8379*COS(R344-P344) -(1 - 0.002516*L344)*16675*COS(R344+Q344)  -(1 - 0.002516*L344)*12831*COS(2*R344-Q344+P344) -10445*COS(2*R344+2*P344) -11650*COS(4*R344) +14403*COS(2*R344-3*P344) -(1-0.002516*L344)*7003*COS(Q344-2*P344)  + (1 - 0.002516*L344)*10056*COS(2*R344-Q344-2*P344) +6322*COS(R344+P344) -(1 - 0.002516*L344)*(1-0.002516*L344)*9884*COS(2*R344-2*Q344) +(1-0.002516*L344)*5751*COS(Q344+2*P344) - (1-0.002516*L344)^2*4950*COS(2*R344-2*Q344-P344)  +4130*COS(2*R344+P344-2*S344) -(1-0.002516*L344)*3958*COS(4*R344-Q344-P344) +3258*COS(3*R344-P344) +(1 - 0.002516*L344)*2616*COS(2*R344+Q344+P344) -(1 - 0.002516*L344)*1897*COS(4*R344-Q344-2*P344)  -(1-0.002516*L344)^2*2117*COS(2*Q344-P344) +(1-0.002516*L344)^2*2354*COS(2*R344+2*Q344-P344) -1423*COS(4*R344+P344) -1117*COS(4*P344) -(1-0.002516*L344)*1571*COS(4*R344-Q344)  -1739*COS(R344-2*P344) -4421*COS(2*P344-2*S344) +(1-0.002516*L344)^2*1165*COS(2*Q344+P344) +8752*COS(2*R344-P344-2*S344))/1000</f>
        <v>402198.170875287</v>
      </c>
      <c r="AV344" s="54" t="n">
        <f aca="false">ATAN(0.99664719*TAN($A$10*input!$E$2))</f>
        <v>0.871010436227447</v>
      </c>
      <c r="AW344" s="54" t="n">
        <f aca="false">COS(AV344)</f>
        <v>0.644053912545845</v>
      </c>
      <c r="AX344" s="54" t="n">
        <f aca="false">0.99664719*SIN(AV344)</f>
        <v>0.762415269897027</v>
      </c>
      <c r="AY344" s="54" t="n">
        <f aca="false">6378.14/AU344</f>
        <v>0.0158582024033563</v>
      </c>
      <c r="AZ344" s="55" t="n">
        <f aca="false">M344-15*AH344</f>
        <v>7.16116197281393</v>
      </c>
      <c r="BA344" s="56" t="n">
        <f aca="false">COS($A$10*AG344)*SIN($A$10*AZ344)</f>
        <v>0.111157202400839</v>
      </c>
      <c r="BB344" s="56" t="n">
        <f aca="false">COS($A$10*AG344)*COS($A$10*AZ344)-AW344*AY344</f>
        <v>0.874508867796638</v>
      </c>
      <c r="BC344" s="56" t="n">
        <f aca="false">SIN($A$10*AG344)-AX344*AY344</f>
        <v>0.440579700011341</v>
      </c>
      <c r="BD344" s="57" t="n">
        <f aca="false">SQRT(BA344^2+BB344^2+BC344^2)</f>
        <v>0.985511113870677</v>
      </c>
      <c r="BE344" s="58" t="n">
        <f aca="false">AU344*BD344</f>
        <v>396370.767376053</v>
      </c>
    </row>
    <row r="345" customFormat="false" ht="15" hidden="false" customHeight="false" outlineLevel="0" collapsed="false">
      <c r="D345" s="41" t="n">
        <f aca="false">K345-INT(275*E345/9)+IF($A$8="common year",2,1)*INT((E345+9)/12)+30</f>
        <v>10</v>
      </c>
      <c r="E345" s="41" t="n">
        <f aca="false">IF(K345&lt;32,1,INT(9*(IF($A$8="common year",2,1)+K345)/275+0.98))</f>
        <v>12</v>
      </c>
      <c r="F345" s="42" t="n">
        <f aca="false">AM345</f>
        <v>66.7101668474851</v>
      </c>
      <c r="G345" s="60" t="n">
        <f aca="false">F345+1.02/(TAN($A$10*(F345+10.3/(F345+5.11)))*60)</f>
        <v>66.7174342462603</v>
      </c>
      <c r="H345" s="43" t="n">
        <f aca="false">100*(1+COS($A$10*AQ345))/2</f>
        <v>96.8222672638514</v>
      </c>
      <c r="I345" s="43" t="n">
        <f aca="false">IF(AI345&gt;180,AT345-180,AT345+180)</f>
        <v>167.711991285532</v>
      </c>
      <c r="J345" s="61" t="n">
        <f aca="false">$J$2+K344</f>
        <v>2459923.5</v>
      </c>
      <c r="K345" s="21" t="n">
        <v>344</v>
      </c>
      <c r="L345" s="62" t="n">
        <f aca="false">(J345-2451545)/36525</f>
        <v>0.229390828199863</v>
      </c>
      <c r="M345" s="63" t="n">
        <f aca="false">MOD(280.46061837+360.98564736629*(J345-2451545)+0.000387933*L345^2-L345^3/38710000+$B$7,360)</f>
        <v>93.7070972435176</v>
      </c>
      <c r="N345" s="30" t="n">
        <f aca="false">0.606433+1336.855225*L345 - INT(0.606433+1336.855225*L345)</f>
        <v>0.268760246064346</v>
      </c>
      <c r="O345" s="35" t="n">
        <f aca="false">22640*SIN(P345)-4586*SIN(P345-2*R345)+2370*SIN(2*R345)+769*SIN(2*P345)-668*SIN(Q345)-412*SIN(2*S345)-212*SIN(2*P345-2*R345)-206*SIN(P345+Q345-2*R345)+192*SIN(P345+2*R345)-165*SIN(Q345-2*R345)-125*SIN(R345)-110*SIN(P345+Q345)+148*SIN(P345-Q345)-55*SIN(2*S345-2*R345)</f>
        <v>4719.91890923857</v>
      </c>
      <c r="P345" s="32" t="n">
        <f aca="false">2*PI()*(0.374897+1325.55241*L345 - INT(0.374897+1325.55241*L345))</f>
        <v>2.79263806445441</v>
      </c>
      <c r="Q345" s="36" t="n">
        <f aca="false">2*PI()*(0.993133+99.997361*L345 - INT(0.993133+99.997361*L345))</f>
        <v>5.8534811391487</v>
      </c>
      <c r="R345" s="36" t="n">
        <f aca="false">2*PI()*(0.827361+1236.853086*L345 - INT(0.827361+1236.853086*L345))</f>
        <v>3.45647297161787</v>
      </c>
      <c r="S345" s="36" t="n">
        <f aca="false">2*PI()*(0.259086+1342.227825*L345 - INT(0.259086+1342.227825*L345))</f>
        <v>0.966595235198868</v>
      </c>
      <c r="T345" s="36" t="n">
        <f aca="false">S345+(O345+412*SIN(2*S345)+541*SIN(Q345))/206264.8062</f>
        <v>0.990253067517535</v>
      </c>
      <c r="U345" s="36" t="n">
        <f aca="false">S345-2*R345</f>
        <v>-5.94635070803687</v>
      </c>
      <c r="V345" s="34" t="n">
        <f aca="false">-526*SIN(U345)+44*SIN(P345+U345)-31*SIN(-P345+U345)-23*SIN(Q345+U345)+11*SIN(-Q345+U345)-25*SIN(-2*P345+S345)+21*SIN(-P345+S345)</f>
        <v>-189.125475847904</v>
      </c>
      <c r="W345" s="36" t="n">
        <f aca="false">2*PI()*(N345+O345/1296000-INT(N345+O345/1296000))</f>
        <v>1.71155324183473</v>
      </c>
      <c r="X345" s="35" t="n">
        <f aca="false">W345*180/PI()</f>
        <v>98.0647771690642</v>
      </c>
      <c r="Y345" s="36" t="n">
        <f aca="false">(18520*SIN(T345)+V345)/206264.8062</f>
        <v>0.0741602362476522</v>
      </c>
      <c r="Z345" s="36" t="n">
        <f aca="false">Y345*180/PI()</f>
        <v>4.24906854468358</v>
      </c>
      <c r="AA345" s="36" t="n">
        <f aca="false">COS(Y345)*COS(W345)</f>
        <v>-0.139906974344546</v>
      </c>
      <c r="AB345" s="36" t="n">
        <f aca="false">COS(Y345)*SIN(W345)</f>
        <v>0.987388663536969</v>
      </c>
      <c r="AC345" s="36" t="n">
        <f aca="false">SIN(Y345)</f>
        <v>0.0740922779271367</v>
      </c>
      <c r="AD345" s="36" t="n">
        <f aca="false">COS($A$10*(23.4393-46.815*L345/3600))*AB345-SIN($A$10*(23.4393-46.815*L345/3600))*AC345</f>
        <v>0.876463086662357</v>
      </c>
      <c r="AE345" s="36" t="n">
        <f aca="false">SIN($A$10*(23.4393-46.815*L345/3600))*AB345+COS($A$10*(23.4393-46.815*L345/3600))*AC345</f>
        <v>0.460693494905287</v>
      </c>
      <c r="AF345" s="36" t="n">
        <f aca="false">SQRT(1-AE345*AE345)</f>
        <v>0.887559295907576</v>
      </c>
      <c r="AG345" s="35" t="n">
        <f aca="false">ATAN(AE345/AF345)/$A$10</f>
        <v>27.4318665190328</v>
      </c>
      <c r="AH345" s="36" t="n">
        <f aca="false">IF(24*ATAN(AD345/(AA345+AF345))/PI()&gt;0,24*ATAN(AD345/(AA345+AF345))/PI(),24*ATAN(AD345/(AA345+AF345))/PI()+24)</f>
        <v>6.60462834404364</v>
      </c>
      <c r="AI345" s="63" t="n">
        <f aca="false">IF(M345-15*AH345&gt;0,M345-15*AH345,360+M345-15*AH345)</f>
        <v>354.637672082863</v>
      </c>
      <c r="AJ345" s="32" t="n">
        <f aca="false">0.950724+0.051818*COS(P345)+0.009531*COS(2*R345-P345)+0.007843*COS(2*R345)+0.002824*COS(2*P345)+0.000857*COS(2*R345+P345)+0.000533*COS(2*R345-Q345)*(1-0.002495*(J345-2415020)/36525)+0.000401*COS(2*R345-Q345-P345)*(1-0.002495*(J345-2415020)/36525)+0.00032*COS(P345-Q345)*(1-0.002495*(J345-2415020)/36525)-0.000271*COS(R345)</f>
        <v>0.904523720731668</v>
      </c>
      <c r="AK345" s="36" t="n">
        <f aca="false">ASIN(COS($A$10*$B$5)*COS($A$10*AG345)*COS($A$10*AI345)+SIN($A$10*$B$5)*SIN($A$10*AG345))/$A$10</f>
        <v>67.0619866659499</v>
      </c>
      <c r="AL345" s="32" t="n">
        <f aca="false">ASIN((0.9983271+0.0016764*COS($A$10*2*$B$5))*COS($A$10*AK345)*SIN($A$10*AJ345))/$A$10</f>
        <v>0.351819818464823</v>
      </c>
      <c r="AM345" s="32" t="n">
        <f aca="false">AK345-AL345</f>
        <v>66.7101668474851</v>
      </c>
      <c r="AN345" s="35" t="n">
        <f aca="false"> MOD(280.4664567 + 360007.6982779*L345/10 + 0.03032028*L345^2/100 + L345^3/49931000,360)</f>
        <v>258.712879284212</v>
      </c>
      <c r="AO345" s="32" t="n">
        <f aca="false"> AN345 + (1.9146 - 0.004817*L345 - 0.000014*L345^2)*SIN(Q345)+ (0.019993 - 0.000101*L345)*SIN(2*Q345)+ 0.00029*SIN(3*Q345)</f>
        <v>257.900309113162</v>
      </c>
      <c r="AP345" s="32" t="n">
        <f aca="false">ACOS(COS(W345-$A$10*AO345)*COS(Y345))/$A$10</f>
        <v>159.410962835162</v>
      </c>
      <c r="AQ345" s="34" t="n">
        <f aca="false">180 - AP345 -0.1468*(1-0.0549*SIN(Q345))*SIN($A$10*AP345)/(1-0.0167*SIN($A$10*AO345))</f>
        <v>20.5370807830923</v>
      </c>
      <c r="AR345" s="64" t="n">
        <f aca="false">SIN($A$10*AI345)</f>
        <v>-0.0934537091583382</v>
      </c>
      <c r="AS345" s="64" t="n">
        <f aca="false">COS($A$10*AI345)*SIN($A$10*$B$5) - TAN($A$10*AG345)*COS($A$10*$B$5)</f>
        <v>0.429048806018378</v>
      </c>
      <c r="AT345" s="24" t="n">
        <f aca="false">IF(OR(AND(AR345*AS345&gt;0), AND(AR345&lt;0,AS345&gt;0)), MOD(ATAN2(AS345,AR345)/$A$10+360,360),  ATAN2(AS345,AR345)/$A$10)</f>
        <v>347.711991285532</v>
      </c>
      <c r="AU345" s="39" t="n">
        <f aca="false"> 385000.56 + (-20905355*COS(P345) - 3699111*COS(2*R345-P345) - 2955968*COS(2*R345) - 569925*COS(2*P345) + (1-0.002516*L345)*48888*COS(Q345) - 3149*COS(2*S345)  +246158*COS(2*R345-2*P345) -(1 - 0.002516*L345)*152138*COS(2*R345-Q345-P345) -170733*COS(2*R345+P345) -(1 - 0.002516*L345)*204586*COS(2*R345-Q345) -(1 - 0.002516*L345)*129620*COS(Q345-P345)  + 108743*COS(R345) +(1-0.002516*L345)*104755*COS(Q345+P345) +10321*COS(2*R345-2*S345) +79661*COS(P345-2*S345) -34782*COS(4*R345-P345) -23210*COS(3*P345)  -21636*COS(4*R345-2*P345) +(1 - 0.002516*L345)*24208*COS(2*R345+Q345-P345) +(1 - 0.002516*L345)*30824*COS(2*R345+Q345) -8379*COS(R345-P345) -(1 - 0.002516*L345)*16675*COS(R345+Q345)  -(1 - 0.002516*L345)*12831*COS(2*R345-Q345+P345) -10445*COS(2*R345+2*P345) -11650*COS(4*R345) +14403*COS(2*R345-3*P345) -(1-0.002516*L345)*7003*COS(Q345-2*P345)  + (1 - 0.002516*L345)*10056*COS(2*R345-Q345-2*P345) +6322*COS(R345+P345) -(1 - 0.002516*L345)*(1-0.002516*L345)*9884*COS(2*R345-2*Q345) +(1-0.002516*L345)*5751*COS(Q345+2*P345) - (1-0.002516*L345)^2*4950*COS(2*R345-2*Q345-P345)  +4130*COS(2*R345+P345-2*S345) -(1-0.002516*L345)*3958*COS(4*R345-Q345-P345) +3258*COS(3*R345-P345) +(1 - 0.002516*L345)*2616*COS(2*R345+Q345+P345) -(1 - 0.002516*L345)*1897*COS(4*R345-Q345-2*P345)  -(1-0.002516*L345)^2*2117*COS(2*Q345-P345) +(1-0.002516*L345)^2*2354*COS(2*R345+2*Q345-P345) -1423*COS(4*R345+P345) -1117*COS(4*P345) -(1-0.002516*L345)*1571*COS(4*R345-Q345)  -1739*COS(R345-2*P345) -4421*COS(2*P345-2*S345) +(1-0.002516*L345)^2*1165*COS(2*Q345+P345) +8752*COS(2*R345-P345-2*S345))/1000</f>
        <v>404115.310764317</v>
      </c>
      <c r="AV345" s="54" t="n">
        <f aca="false">ATAN(0.99664719*TAN($A$10*input!$E$2))</f>
        <v>0.871010436227447</v>
      </c>
      <c r="AW345" s="54" t="n">
        <f aca="false">COS(AV345)</f>
        <v>0.644053912545845</v>
      </c>
      <c r="AX345" s="54" t="n">
        <f aca="false">0.99664719*SIN(AV345)</f>
        <v>0.762415269897027</v>
      </c>
      <c r="AY345" s="54" t="n">
        <f aca="false">6378.14/AU345</f>
        <v>0.015782970429744</v>
      </c>
      <c r="AZ345" s="55" t="n">
        <f aca="false">M345-15*AH345</f>
        <v>-5.36232791713699</v>
      </c>
      <c r="BA345" s="56" t="n">
        <f aca="false">COS($A$10*AG345)*SIN($A$10*AZ345)</f>
        <v>-0.0829457083005266</v>
      </c>
      <c r="BB345" s="56" t="n">
        <f aca="false">COS($A$10*AG345)*COS($A$10*AZ345)-AW345*AY345</f>
        <v>0.873509920444187</v>
      </c>
      <c r="BC345" s="56" t="n">
        <f aca="false">SIN($A$10*AG345)-AX345*AY345</f>
        <v>0.448660317245317</v>
      </c>
      <c r="BD345" s="57" t="n">
        <f aca="false">SQRT(BA345^2+BB345^2+BC345^2)</f>
        <v>0.985492593534094</v>
      </c>
      <c r="BE345" s="58" t="n">
        <f aca="false">AU345*BD345</f>
        <v>398252.645691963</v>
      </c>
    </row>
    <row r="346" customFormat="false" ht="15" hidden="false" customHeight="false" outlineLevel="0" collapsed="false">
      <c r="D346" s="41" t="n">
        <f aca="false">K346-INT(275*E346/9)+IF($A$8="common year",2,1)*INT((E346+9)/12)+30</f>
        <v>11</v>
      </c>
      <c r="E346" s="41" t="n">
        <f aca="false">IF(K346&lt;32,1,INT(9*(IF($A$8="common year",2,1)+K346)/275+0.98))</f>
        <v>12</v>
      </c>
      <c r="F346" s="42" t="n">
        <f aca="false">AM346</f>
        <v>62.571152132319</v>
      </c>
      <c r="G346" s="60" t="n">
        <f aca="false">F346+1.02/(TAN($A$10*(F346+10.3/(F346+5.11)))*60)</f>
        <v>62.5799177198779</v>
      </c>
      <c r="H346" s="43" t="n">
        <f aca="false">100*(1+COS($A$10*AQ346))/2</f>
        <v>92.7039254666888</v>
      </c>
      <c r="I346" s="43" t="n">
        <f aca="false">IF(AI346&gt;180,AT346-180,AT346+180)</f>
        <v>143.1826547272</v>
      </c>
      <c r="J346" s="61" t="n">
        <f aca="false">$J$2+K345</f>
        <v>2459924.5</v>
      </c>
      <c r="K346" s="21" t="n">
        <v>345</v>
      </c>
      <c r="L346" s="62" t="n">
        <f aca="false">(J346-2451545)/36525</f>
        <v>0.229418206707734</v>
      </c>
      <c r="M346" s="63" t="n">
        <f aca="false">MOD(280.46061837+360.98564736629*(J346-2451545)+0.000387933*L346^2-L346^3/38710000+$B$7,360)</f>
        <v>94.6927446145564</v>
      </c>
      <c r="N346" s="30" t="n">
        <f aca="false">0.606433+1336.855225*L346 - INT(0.606433+1336.855225*L346)</f>
        <v>0.305361347364794</v>
      </c>
      <c r="O346" s="35" t="n">
        <f aca="false">22640*SIN(P346)-4586*SIN(P346-2*R346)+2370*SIN(2*R346)+769*SIN(2*P346)-668*SIN(Q346)-412*SIN(2*S346)-212*SIN(2*P346-2*R346)-206*SIN(P346+Q346-2*R346)+192*SIN(P346+2*R346)-165*SIN(Q346-2*R346)-125*SIN(R346)-110*SIN(P346+Q346)+148*SIN(P346-Q346)-55*SIN(2*S346-2*R346)</f>
        <v>282.116702591042</v>
      </c>
      <c r="P346" s="32" t="n">
        <f aca="false">2*PI()*(0.374897+1325.55241*L346 - INT(0.374897+1325.55241*L346))</f>
        <v>3.02066520823023</v>
      </c>
      <c r="Q346" s="36" t="n">
        <f aca="false">2*PI()*(0.993133+99.997361*L346 - INT(0.993133+99.997361*L346))</f>
        <v>5.87068310901568</v>
      </c>
      <c r="R346" s="36" t="n">
        <f aca="false">2*PI()*(0.827361+1236.853086*L346 - INT(0.827361+1236.853086*L346))</f>
        <v>3.66924168173689</v>
      </c>
      <c r="S346" s="36" t="n">
        <f aca="false">2*PI()*(0.259086+1342.227825*L346 - INT(0.259086+1342.227825*L346))</f>
        <v>1.19749095453952</v>
      </c>
      <c r="T346" s="36" t="n">
        <f aca="false">S346+(O346+412*SIN(2*S346)+541*SIN(Q346))/206264.8062</f>
        <v>1.19916375606906</v>
      </c>
      <c r="U346" s="36" t="n">
        <f aca="false">S346-2*R346</f>
        <v>-6.14099240893427</v>
      </c>
      <c r="V346" s="34" t="n">
        <f aca="false">-526*SIN(U346)+44*SIN(P346+U346)-31*SIN(-P346+U346)-23*SIN(Q346+U346)+11*SIN(-Q346+U346)-25*SIN(-2*P346+S346)+21*SIN(-P346+S346)</f>
        <v>-100.598216490791</v>
      </c>
      <c r="W346" s="36" t="n">
        <f aca="false">2*PI()*(N346+O346/1296000-INT(N346+O346/1296000))</f>
        <v>1.92000967151389</v>
      </c>
      <c r="X346" s="35" t="n">
        <f aca="false">W346*180/PI()</f>
        <v>110.008450802046</v>
      </c>
      <c r="Y346" s="36" t="n">
        <f aca="false">(18520*SIN(T346)+V346)/206264.8062</f>
        <v>0.0831705030839473</v>
      </c>
      <c r="Z346" s="36" t="n">
        <f aca="false">Y346*180/PI()</f>
        <v>4.76531880668998</v>
      </c>
      <c r="AA346" s="36" t="n">
        <f aca="false">COS(Y346)*COS(W346)</f>
        <v>-0.340976008046875</v>
      </c>
      <c r="AB346" s="36" t="n">
        <f aca="false">COS(Y346)*SIN(W346)</f>
        <v>0.936394128815301</v>
      </c>
      <c r="AC346" s="36" t="n">
        <f aca="false">SIN(Y346)</f>
        <v>0.0830746499038793</v>
      </c>
      <c r="AD346" s="36" t="n">
        <f aca="false">COS($A$10*(23.4393-46.815*L346/3600))*AB346-SIN($A$10*(23.4393-46.815*L346/3600))*AC346</f>
        <v>0.826102911117536</v>
      </c>
      <c r="AE346" s="36" t="n">
        <f aca="false">SIN($A$10*(23.4393-46.815*L346/3600))*AB346+COS($A$10*(23.4393-46.815*L346/3600))*AC346</f>
        <v>0.448652808059361</v>
      </c>
      <c r="AF346" s="36" t="n">
        <f aca="false">SQRT(1-AE346*AE346)</f>
        <v>0.893706136165826</v>
      </c>
      <c r="AG346" s="35" t="n">
        <f aca="false">ATAN(AE346/AF346)/$A$10</f>
        <v>26.6572823171354</v>
      </c>
      <c r="AH346" s="36" t="n">
        <f aca="false">IF(24*ATAN(AD346/(AA346+AF346))/PI()&gt;0,24*ATAN(AD346/(AA346+AF346))/PI(),24*ATAN(AD346/(AA346+AF346))/PI()+24)</f>
        <v>7.49523385606625</v>
      </c>
      <c r="AI346" s="63" t="n">
        <f aca="false">IF(M346-15*AH346&gt;0,M346-15*AH346,360+M346-15*AH346)</f>
        <v>342.264236773563</v>
      </c>
      <c r="AJ346" s="32" t="n">
        <f aca="false">0.950724+0.051818*COS(P346)+0.009531*COS(2*R346-P346)+0.007843*COS(2*R346)+0.002824*COS(2*P346)+0.000857*COS(2*R346+P346)+0.000533*COS(2*R346-Q346)*(1-0.002495*(J346-2415020)/36525)+0.000401*COS(2*R346-Q346-P346)*(1-0.002495*(J346-2415020)/36525)+0.00032*COS(P346-Q346)*(1-0.002495*(J346-2415020)/36525)-0.000271*COS(R346)</f>
        <v>0.901709798648174</v>
      </c>
      <c r="AK346" s="36" t="n">
        <f aca="false">ASIN(COS($A$10*$B$5)*COS($A$10*AG346)*COS($A$10*AI346)+SIN($A$10*$B$5)*SIN($A$10*AG346))/$A$10</f>
        <v>62.9799825257446</v>
      </c>
      <c r="AL346" s="32" t="n">
        <f aca="false">ASIN((0.9983271+0.0016764*COS($A$10*2*$B$5))*COS($A$10*AK346)*SIN($A$10*AJ346))/$A$10</f>
        <v>0.408830393425586</v>
      </c>
      <c r="AM346" s="32" t="n">
        <f aca="false">AK346-AL346</f>
        <v>62.571152132319</v>
      </c>
      <c r="AN346" s="35" t="n">
        <f aca="false"> MOD(280.4664567 + 360007.6982779*L346/10 + 0.03032028*L346^2/100 + L346^3/49931000,360)</f>
        <v>259.698526648124</v>
      </c>
      <c r="AO346" s="32" t="n">
        <f aca="false"> AN346 + (1.9146 - 0.004817*L346 - 0.000014*L346^2)*SIN(Q346)+ (0.019993 - 0.000101*L346)*SIN(2*Q346)+ 0.00029*SIN(3*Q346)</f>
        <v>258.91645840541</v>
      </c>
      <c r="AP346" s="32" t="n">
        <f aca="false">ACOS(COS(W346-$A$10*AO346)*COS(Y346))/$A$10</f>
        <v>148.581132397974</v>
      </c>
      <c r="AQ346" s="34" t="n">
        <f aca="false">180 - AP346 -0.1468*(1-0.0549*SIN(Q346))*SIN($A$10*AP346)/(1-0.0167*SIN($A$10*AO346))</f>
        <v>31.3419189120472</v>
      </c>
      <c r="AR346" s="64" t="n">
        <f aca="false">SIN($A$10*AI346)</f>
        <v>-0.30462763966931</v>
      </c>
      <c r="AS346" s="64" t="n">
        <f aca="false">COS($A$10*AI346)*SIN($A$10*$B$5) - TAN($A$10*AG346)*COS($A$10*$B$5)</f>
        <v>0.406947270411966</v>
      </c>
      <c r="AT346" s="24" t="n">
        <f aca="false">IF(OR(AND(AR346*AS346&gt;0), AND(AR346&lt;0,AS346&gt;0)), MOD(ATAN2(AS346,AR346)/$A$10+360,360),  ATAN2(AS346,AR346)/$A$10)</f>
        <v>323.1826547272</v>
      </c>
      <c r="AU346" s="39" t="n">
        <f aca="false"> 385000.56 + (-20905355*COS(P346) - 3699111*COS(2*R346-P346) - 2955968*COS(2*R346) - 569925*COS(2*P346) + (1-0.002516*L346)*48888*COS(Q346) - 3149*COS(2*S346)  +246158*COS(2*R346-2*P346) -(1 - 0.002516*L346)*152138*COS(2*R346-Q346-P346) -170733*COS(2*R346+P346) -(1 - 0.002516*L346)*204586*COS(2*R346-Q346) -(1 - 0.002516*L346)*129620*COS(Q346-P346)  + 108743*COS(R346) +(1-0.002516*L346)*104755*COS(Q346+P346) +10321*COS(2*R346-2*S346) +79661*COS(P346-2*S346) -34782*COS(4*R346-P346) -23210*COS(3*P346)  -21636*COS(4*R346-2*P346) +(1 - 0.002516*L346)*24208*COS(2*R346+Q346-P346) +(1 - 0.002516*L346)*30824*COS(2*R346+Q346) -8379*COS(R346-P346) -(1 - 0.002516*L346)*16675*COS(R346+Q346)  -(1 - 0.002516*L346)*12831*COS(2*R346-Q346+P346) -10445*COS(2*R346+2*P346) -11650*COS(4*R346) +14403*COS(2*R346-3*P346) -(1-0.002516*L346)*7003*COS(Q346-2*P346)  + (1 - 0.002516*L346)*10056*COS(2*R346-Q346-2*P346) +6322*COS(R346+P346) -(1 - 0.002516*L346)*(1-0.002516*L346)*9884*COS(2*R346-2*Q346) +(1-0.002516*L346)*5751*COS(Q346+2*P346) - (1-0.002516*L346)^2*4950*COS(2*R346-2*Q346-P346)  +4130*COS(2*R346+P346-2*S346) -(1-0.002516*L346)*3958*COS(4*R346-Q346-P346) +3258*COS(3*R346-P346) +(1 - 0.002516*L346)*2616*COS(2*R346+Q346+P346) -(1 - 0.002516*L346)*1897*COS(4*R346-Q346-2*P346)  -(1-0.002516*L346)^2*2117*COS(2*Q346-P346) +(1-0.002516*L346)^2*2354*COS(2*R346+2*Q346-P346) -1423*COS(4*R346+P346) -1117*COS(4*P346) -(1-0.002516*L346)*1571*COS(4*R346-Q346)  -1739*COS(R346-2*P346) -4421*COS(2*P346-2*S346) +(1-0.002516*L346)^2*1165*COS(2*Q346+P346) +8752*COS(2*R346-P346-2*S346))/1000</f>
        <v>405393.736933335</v>
      </c>
      <c r="AV346" s="54" t="n">
        <f aca="false">ATAN(0.99664719*TAN($A$10*input!$E$2))</f>
        <v>0.871010436227447</v>
      </c>
      <c r="AW346" s="54" t="n">
        <f aca="false">COS(AV346)</f>
        <v>0.644053912545845</v>
      </c>
      <c r="AX346" s="54" t="n">
        <f aca="false">0.99664719*SIN(AV346)</f>
        <v>0.762415269897027</v>
      </c>
      <c r="AY346" s="54" t="n">
        <f aca="false">6378.14/AU346</f>
        <v>0.0157331981698791</v>
      </c>
      <c r="AZ346" s="55" t="n">
        <f aca="false">M346-15*AH346</f>
        <v>-17.7357632264374</v>
      </c>
      <c r="BA346" s="56" t="n">
        <f aca="false">COS($A$10*AG346)*SIN($A$10*AZ346)</f>
        <v>-0.272247590818175</v>
      </c>
      <c r="BB346" s="56" t="n">
        <f aca="false">COS($A$10*AG346)*COS($A$10*AZ346)-AW346*AY346</f>
        <v>0.841096616332045</v>
      </c>
      <c r="BC346" s="56" t="n">
        <f aca="false">SIN($A$10*AG346)-AX346*AY346</f>
        <v>0.436657577530329</v>
      </c>
      <c r="BD346" s="57" t="n">
        <f aca="false">SQRT(BA346^2+BB346^2+BC346^2)</f>
        <v>0.98601831054305</v>
      </c>
      <c r="BE346" s="58" t="n">
        <f aca="false">AU346*BD346</f>
        <v>399725.647595741</v>
      </c>
    </row>
    <row r="347" customFormat="false" ht="15" hidden="false" customHeight="false" outlineLevel="0" collapsed="false">
      <c r="D347" s="41" t="n">
        <f aca="false">K347-INT(275*E347/9)+IF($A$8="common year",2,1)*INT((E347+9)/12)+30</f>
        <v>12</v>
      </c>
      <c r="E347" s="41" t="n">
        <f aca="false">IF(K347&lt;32,1,INT(9*(IF($A$8="common year",2,1)+K347)/275+0.98))</f>
        <v>12</v>
      </c>
      <c r="F347" s="42" t="n">
        <f aca="false">AM347</f>
        <v>55.2957469432959</v>
      </c>
      <c r="G347" s="60" t="n">
        <f aca="false">F347+1.02/(TAN($A$10*(F347+10.3/(F347+5.11)))*60)</f>
        <v>55.3074454648743</v>
      </c>
      <c r="H347" s="43" t="n">
        <f aca="false">100*(1+COS($A$10*AQ347))/2</f>
        <v>87.0912955790611</v>
      </c>
      <c r="I347" s="43" t="n">
        <f aca="false">IF(AI347&gt;180,AT347-180,AT347+180)</f>
        <v>126.737992101601</v>
      </c>
      <c r="J347" s="61" t="n">
        <f aca="false">$J$2+K346</f>
        <v>2459925.5</v>
      </c>
      <c r="K347" s="21" t="n">
        <v>346</v>
      </c>
      <c r="L347" s="62" t="n">
        <f aca="false">(J347-2451545)/36525</f>
        <v>0.229445585215606</v>
      </c>
      <c r="M347" s="63" t="n">
        <f aca="false">MOD(280.46061837+360.98564736629*(J347-2451545)+0.000387933*L347^2-L347^3/38710000+$B$7,360)</f>
        <v>95.6783919860609</v>
      </c>
      <c r="N347" s="30" t="n">
        <f aca="false">0.606433+1336.855225*L347 - INT(0.606433+1336.855225*L347)</f>
        <v>0.341962448665299</v>
      </c>
      <c r="O347" s="35" t="n">
        <f aca="false">22640*SIN(P347)-4586*SIN(P347-2*R347)+2370*SIN(2*R347)+769*SIN(2*P347)-668*SIN(Q347)-412*SIN(2*S347)-212*SIN(2*P347-2*R347)-206*SIN(P347+Q347-2*R347)+192*SIN(P347+2*R347)-165*SIN(Q347-2*R347)-125*SIN(R347)-110*SIN(P347+Q347)+148*SIN(P347-Q347)-55*SIN(2*S347-2*R347)</f>
        <v>-4358.4644129492</v>
      </c>
      <c r="P347" s="32" t="n">
        <f aca="false">2*PI()*(0.374897+1325.55241*L347 - INT(0.374897+1325.55241*L347))</f>
        <v>3.24869235200569</v>
      </c>
      <c r="Q347" s="36" t="n">
        <f aca="false">2*PI()*(0.993133+99.997361*L347 - INT(0.993133+99.997361*L347))</f>
        <v>5.88788507888267</v>
      </c>
      <c r="R347" s="36" t="n">
        <f aca="false">2*PI()*(0.827361+1236.853086*L347 - INT(0.827361+1236.853086*L347))</f>
        <v>3.88201039185592</v>
      </c>
      <c r="S347" s="36" t="n">
        <f aca="false">2*PI()*(0.259086+1342.227825*L347 - INT(0.259086+1342.227825*L347))</f>
        <v>1.42838667388052</v>
      </c>
      <c r="T347" s="36" t="n">
        <f aca="false">S347+(O347+412*SIN(2*S347)+541*SIN(Q347))/206264.8062</f>
        <v>1.4068074708794</v>
      </c>
      <c r="U347" s="36" t="n">
        <f aca="false">S347-2*R347</f>
        <v>-6.33563410983131</v>
      </c>
      <c r="V347" s="34" t="n">
        <f aca="false">-526*SIN(U347)+44*SIN(P347+U347)-31*SIN(-P347+U347)-23*SIN(Q347+U347)+11*SIN(-Q347+U347)-25*SIN(-2*P347+S347)+21*SIN(-P347+S347)</f>
        <v>-9.874445647231</v>
      </c>
      <c r="W347" s="36" t="n">
        <f aca="false">2*PI()*(N347+O347/1296000-INT(N347+O347/1296000))</f>
        <v>2.12748300130069</v>
      </c>
      <c r="X347" s="35" t="n">
        <f aca="false">W347*180/PI()</f>
        <v>121.895796960355</v>
      </c>
      <c r="Y347" s="36" t="n">
        <f aca="false">(18520*SIN(T347)+V347)/206264.8062</f>
        <v>0.0885350261407959</v>
      </c>
      <c r="Z347" s="36" t="n">
        <f aca="false">Y347*180/PI()</f>
        <v>5.07268333694802</v>
      </c>
      <c r="AA347" s="36" t="n">
        <f aca="false">COS(Y347)*COS(W347)</f>
        <v>-0.526306582833013</v>
      </c>
      <c r="AB347" s="36" t="n">
        <f aca="false">COS(Y347)*SIN(W347)</f>
        <v>0.845685159534844</v>
      </c>
      <c r="AC347" s="36" t="n">
        <f aca="false">SIN(Y347)</f>
        <v>0.0884194085546979</v>
      </c>
      <c r="AD347" s="36" t="n">
        <f aca="false">COS($A$10*(23.4393-46.815*L347/3600))*AB347-SIN($A$10*(23.4393-46.815*L347/3600))*AC347</f>
        <v>0.740751420133425</v>
      </c>
      <c r="AE347" s="36" t="n">
        <f aca="false">SIN($A$10*(23.4393-46.815*L347/3600))*AB347+COS($A$10*(23.4393-46.815*L347/3600))*AC347</f>
        <v>0.417478998797486</v>
      </c>
      <c r="AF347" s="36" t="n">
        <f aca="false">SQRT(1-AE347*AE347)</f>
        <v>0.908686571686326</v>
      </c>
      <c r="AG347" s="35" t="n">
        <f aca="false">ATAN(AE347/AF347)/$A$10</f>
        <v>24.675528149075</v>
      </c>
      <c r="AH347" s="36" t="n">
        <f aca="false">IF(24*ATAN(AD347/(AA347+AF347))/PI()&gt;0,24*ATAN(AD347/(AA347+AF347))/PI(),24*ATAN(AD347/(AA347+AF347))/PI()+24)</f>
        <v>8.35959550684735</v>
      </c>
      <c r="AI347" s="63" t="n">
        <f aca="false">IF(M347-15*AH347&gt;0,M347-15*AH347,360+M347-15*AH347)</f>
        <v>330.284459383351</v>
      </c>
      <c r="AJ347" s="32" t="n">
        <f aca="false">0.950724+0.051818*COS(P347)+0.009531*COS(2*R347-P347)+0.007843*COS(2*R347)+0.002824*COS(2*P347)+0.000857*COS(2*R347+P347)+0.000533*COS(2*R347-Q347)*(1-0.002495*(J347-2415020)/36525)+0.000401*COS(2*R347-Q347-P347)*(1-0.002495*(J347-2415020)/36525)+0.00032*COS(P347-Q347)*(1-0.002495*(J347-2415020)/36525)-0.000271*COS(R347)</f>
        <v>0.900655057573431</v>
      </c>
      <c r="AK347" s="36" t="n">
        <f aca="false">ASIN(COS($A$10*$B$5)*COS($A$10*AG347)*COS($A$10*AI347)+SIN($A$10*$B$5)*SIN($A$10*AG347))/$A$10</f>
        <v>55.8009690822129</v>
      </c>
      <c r="AL347" s="32" t="n">
        <f aca="false">ASIN((0.9983271+0.0016764*COS($A$10*2*$B$5))*COS($A$10*AK347)*SIN($A$10*AJ347))/$A$10</f>
        <v>0.505222138916998</v>
      </c>
      <c r="AM347" s="32" t="n">
        <f aca="false">AK347-AL347</f>
        <v>55.2957469432959</v>
      </c>
      <c r="AN347" s="35" t="n">
        <f aca="false"> MOD(280.4664567 + 360007.6982779*L347/10 + 0.03032028*L347^2/100 + L347^3/49931000,360)</f>
        <v>260.684174012038</v>
      </c>
      <c r="AO347" s="32" t="n">
        <f aca="false"> AN347 + (1.9146 - 0.004817*L347 - 0.000014*L347^2)*SIN(Q347)+ (0.019993 - 0.000101*L347)*SIN(2*Q347)+ 0.00029*SIN(3*Q347)</f>
        <v>259.932852776575</v>
      </c>
      <c r="AP347" s="32" t="n">
        <f aca="false">ACOS(COS(W347-$A$10*AO347)*COS(Y347))/$A$10</f>
        <v>137.788101301115</v>
      </c>
      <c r="AQ347" s="34" t="n">
        <f aca="false">180 - AP347 -0.1468*(1-0.0549*SIN(Q347))*SIN($A$10*AP347)/(1-0.0167*SIN($A$10*AO347))</f>
        <v>42.1128116315282</v>
      </c>
      <c r="AR347" s="64" t="n">
        <f aca="false">SIN($A$10*AI347)</f>
        <v>-0.495694253411027</v>
      </c>
      <c r="AS347" s="64" t="n">
        <f aca="false">COS($A$10*AI347)*SIN($A$10*$B$5) - TAN($A$10*AG347)*COS($A$10*$B$5)</f>
        <v>0.369990666006853</v>
      </c>
      <c r="AT347" s="24" t="n">
        <f aca="false">IF(OR(AND(AR347*AS347&gt;0), AND(AR347&lt;0,AS347&gt;0)), MOD(ATAN2(AS347,AR347)/$A$10+360,360),  ATAN2(AS347,AR347)/$A$10)</f>
        <v>306.737992101601</v>
      </c>
      <c r="AU347" s="39" t="n">
        <f aca="false"> 385000.56 + (-20905355*COS(P347) - 3699111*COS(2*R347-P347) - 2955968*COS(2*R347) - 569925*COS(2*P347) + (1-0.002516*L347)*48888*COS(Q347) - 3149*COS(2*S347)  +246158*COS(2*R347-2*P347) -(1 - 0.002516*L347)*152138*COS(2*R347-Q347-P347) -170733*COS(2*R347+P347) -(1 - 0.002516*L347)*204586*COS(2*R347-Q347) -(1 - 0.002516*L347)*129620*COS(Q347-P347)  + 108743*COS(R347) +(1-0.002516*L347)*104755*COS(Q347+P347) +10321*COS(2*R347-2*S347) +79661*COS(P347-2*S347) -34782*COS(4*R347-P347) -23210*COS(3*P347)  -21636*COS(4*R347-2*P347) +(1 - 0.002516*L347)*24208*COS(2*R347+Q347-P347) +(1 - 0.002516*L347)*30824*COS(2*R347+Q347) -8379*COS(R347-P347) -(1 - 0.002516*L347)*16675*COS(R347+Q347)  -(1 - 0.002516*L347)*12831*COS(2*R347-Q347+P347) -10445*COS(2*R347+2*P347) -11650*COS(4*R347) +14403*COS(2*R347-3*P347) -(1-0.002516*L347)*7003*COS(Q347-2*P347)  + (1 - 0.002516*L347)*10056*COS(2*R347-Q347-2*P347) +6322*COS(R347+P347) -(1 - 0.002516*L347)*(1-0.002516*L347)*9884*COS(2*R347-2*Q347) +(1-0.002516*L347)*5751*COS(Q347+2*P347) - (1-0.002516*L347)^2*4950*COS(2*R347-2*Q347-P347)  +4130*COS(2*R347+P347-2*S347) -(1-0.002516*L347)*3958*COS(4*R347-Q347-P347) +3258*COS(3*R347-P347) +(1 - 0.002516*L347)*2616*COS(2*R347+Q347+P347) -(1 - 0.002516*L347)*1897*COS(4*R347-Q347-2*P347)  -(1-0.002516*L347)^2*2117*COS(2*Q347-P347) +(1-0.002516*L347)^2*2354*COS(2*R347+2*Q347-P347) -1423*COS(4*R347+P347) -1117*COS(4*P347) -(1-0.002516*L347)*1571*COS(4*R347-Q347)  -1739*COS(R347-2*P347) -4421*COS(2*P347-2*S347) +(1-0.002516*L347)^2*1165*COS(2*Q347+P347) +8752*COS(2*R347-P347-2*S347))/1000</f>
        <v>405870.177537327</v>
      </c>
      <c r="AV347" s="54" t="n">
        <f aca="false">ATAN(0.99664719*TAN($A$10*input!$E$2))</f>
        <v>0.871010436227447</v>
      </c>
      <c r="AW347" s="54" t="n">
        <f aca="false">COS(AV347)</f>
        <v>0.644053912545845</v>
      </c>
      <c r="AX347" s="54" t="n">
        <f aca="false">0.99664719*SIN(AV347)</f>
        <v>0.762415269897027</v>
      </c>
      <c r="AY347" s="54" t="n">
        <f aca="false">6378.14/AU347</f>
        <v>0.0157147293715942</v>
      </c>
      <c r="AZ347" s="55" t="n">
        <f aca="false">M347-15*AH347</f>
        <v>-29.7155406166494</v>
      </c>
      <c r="BA347" s="56" t="n">
        <f aca="false">COS($A$10*AG347)*SIN($A$10*AZ347)</f>
        <v>-0.45043071173668</v>
      </c>
      <c r="BB347" s="56" t="n">
        <f aca="false">COS($A$10*AG347)*COS($A$10*AZ347)-AW347*AY347</f>
        <v>0.779070516466631</v>
      </c>
      <c r="BC347" s="56" t="n">
        <f aca="false">SIN($A$10*AG347)-AX347*AY347</f>
        <v>0.405497849162284</v>
      </c>
      <c r="BD347" s="57" t="n">
        <f aca="false">SQRT(BA347^2+BB347^2+BC347^2)</f>
        <v>0.987049746151851</v>
      </c>
      <c r="BE347" s="58" t="n">
        <f aca="false">AU347*BD347</f>
        <v>400614.055708826</v>
      </c>
    </row>
    <row r="348" customFormat="false" ht="15" hidden="false" customHeight="false" outlineLevel="0" collapsed="false">
      <c r="D348" s="41" t="n">
        <f aca="false">K348-INT(275*E348/9)+IF($A$8="common year",2,1)*INT((E348+9)/12)+30</f>
        <v>13</v>
      </c>
      <c r="E348" s="41" t="n">
        <f aca="false">IF(K348&lt;32,1,INT(9*(IF($A$8="common year",2,1)+K348)/275+0.98))</f>
        <v>12</v>
      </c>
      <c r="F348" s="42" t="n">
        <f aca="false">AM348</f>
        <v>46.46266085793</v>
      </c>
      <c r="G348" s="60" t="n">
        <f aca="false">F348+1.02/(TAN($A$10*(F348+10.3/(F348+5.11)))*60)</f>
        <v>46.4787019354018</v>
      </c>
      <c r="H348" s="43" t="n">
        <f aca="false">100*(1+COS($A$10*AQ348))/2</f>
        <v>80.1792709102742</v>
      </c>
      <c r="I348" s="43" t="n">
        <f aca="false">IF(AI348&gt;180,AT348-180,AT348+180)</f>
        <v>116.059558026863</v>
      </c>
      <c r="J348" s="61" t="n">
        <f aca="false">$J$2+K347</f>
        <v>2459926.5</v>
      </c>
      <c r="K348" s="21" t="n">
        <v>347</v>
      </c>
      <c r="L348" s="62" t="n">
        <f aca="false">(J348-2451545)/36525</f>
        <v>0.229472963723477</v>
      </c>
      <c r="M348" s="63" t="n">
        <f aca="false">MOD(280.46061837+360.98564736629*(J348-2451545)+0.000387933*L348^2-L348^3/38710000+$B$7,360)</f>
        <v>96.664039356634</v>
      </c>
      <c r="N348" s="30" t="n">
        <f aca="false">0.606433+1336.855225*L348 - INT(0.606433+1336.855225*L348)</f>
        <v>0.378563549965747</v>
      </c>
      <c r="O348" s="35" t="n">
        <f aca="false">22640*SIN(P348)-4586*SIN(P348-2*R348)+2370*SIN(2*R348)+769*SIN(2*P348)-668*SIN(Q348)-412*SIN(2*S348)-212*SIN(2*P348-2*R348)-206*SIN(P348+Q348-2*R348)+192*SIN(P348+2*R348)-165*SIN(Q348-2*R348)-125*SIN(R348)-110*SIN(P348+Q348)+148*SIN(P348-Q348)-55*SIN(2*S348-2*R348)</f>
        <v>-9068.23866786296</v>
      </c>
      <c r="P348" s="32" t="n">
        <f aca="false">2*PI()*(0.374897+1325.55241*L348 - INT(0.374897+1325.55241*L348))</f>
        <v>3.47671949578151</v>
      </c>
      <c r="Q348" s="36" t="n">
        <f aca="false">2*PI()*(0.993133+99.997361*L348 - INT(0.993133+99.997361*L348))</f>
        <v>5.90508704874965</v>
      </c>
      <c r="R348" s="36" t="n">
        <f aca="false">2*PI()*(0.827361+1236.853086*L348 - INT(0.827361+1236.853086*L348))</f>
        <v>4.09477910197458</v>
      </c>
      <c r="S348" s="36" t="n">
        <f aca="false">2*PI()*(0.259086+1342.227825*L348 - INT(0.259086+1342.227825*L348))</f>
        <v>1.65928239322117</v>
      </c>
      <c r="T348" s="36" t="n">
        <f aca="false">S348+(O348+412*SIN(2*S348)+541*SIN(Q348))/206264.8062</f>
        <v>1.6139984520405</v>
      </c>
      <c r="U348" s="36" t="n">
        <f aca="false">S348-2*R348</f>
        <v>-6.530275810728</v>
      </c>
      <c r="V348" s="34" t="n">
        <f aca="false">-526*SIN(U348)+44*SIN(P348+U348)-31*SIN(-P348+U348)-23*SIN(Q348+U348)+11*SIN(-Q348+U348)-25*SIN(-2*P348+S348)+21*SIN(-P348+S348)</f>
        <v>81.3822305335621</v>
      </c>
      <c r="W348" s="36" t="n">
        <f aca="false">2*PI()*(N348+O348/1296000-INT(N348+O348/1296000))</f>
        <v>2.33462087328106</v>
      </c>
      <c r="X348" s="35" t="n">
        <f aca="false">W348*180/PI()</f>
        <v>133.763922802152</v>
      </c>
      <c r="Y348" s="36" t="n">
        <f aca="false">(18520*SIN(T348)+V348)/206264.8062</f>
        <v>0.0900982682314784</v>
      </c>
      <c r="Z348" s="36" t="n">
        <f aca="false">Y348*180/PI()</f>
        <v>5.16225051110133</v>
      </c>
      <c r="AA348" s="36" t="n">
        <f aca="false">COS(Y348)*COS(W348)</f>
        <v>-0.688883008122778</v>
      </c>
      <c r="AB348" s="36" t="n">
        <f aca="false">COS(Y348)*SIN(W348)</f>
        <v>0.719266602237094</v>
      </c>
      <c r="AC348" s="36" t="n">
        <f aca="false">SIN(Y348)</f>
        <v>0.0899764192776</v>
      </c>
      <c r="AD348" s="36" t="n">
        <f aca="false">COS($A$10*(23.4393-46.815*L348/3600))*AB348-SIN($A$10*(23.4393-46.815*L348/3600))*AC348</f>
        <v>0.62414278389579</v>
      </c>
      <c r="AE348" s="36" t="n">
        <f aca="false">SIN($A$10*(23.4393-46.815*L348/3600))*AB348+COS($A$10*(23.4393-46.815*L348/3600))*AC348</f>
        <v>0.36862716453149</v>
      </c>
      <c r="AF348" s="36" t="n">
        <f aca="false">SQRT(1-AE348*AE348)</f>
        <v>0.92957733060218</v>
      </c>
      <c r="AG348" s="35" t="n">
        <f aca="false">ATAN(AE348/AF348)/$A$10</f>
        <v>21.6309758547284</v>
      </c>
      <c r="AH348" s="36" t="n">
        <f aca="false">IF(24*ATAN(AD348/(AA348+AF348))/PI()&gt;0,24*ATAN(AD348/(AA348+AF348))/PI(),24*ATAN(AD348/(AA348+AF348))/PI()+24)</f>
        <v>9.18818315639974</v>
      </c>
      <c r="AI348" s="63" t="n">
        <f aca="false">IF(M348-15*AH348&gt;0,M348-15*AH348,360+M348-15*AH348)</f>
        <v>318.841292010638</v>
      </c>
      <c r="AJ348" s="32" t="n">
        <f aca="false">0.950724+0.051818*COS(P348)+0.009531*COS(2*R348-P348)+0.007843*COS(2*R348)+0.002824*COS(2*P348)+0.000857*COS(2*R348+P348)+0.000533*COS(2*R348-Q348)*(1-0.002495*(J348-2415020)/36525)+0.000401*COS(2*R348-Q348-P348)*(1-0.002495*(J348-2415020)/36525)+0.00032*COS(P348-Q348)*(1-0.002495*(J348-2415020)/36525)-0.000271*COS(R348)</f>
        <v>0.901671489114548</v>
      </c>
      <c r="AK348" s="36" t="n">
        <f aca="false">ASIN(COS($A$10*$B$5)*COS($A$10*AG348)*COS($A$10*AI348)+SIN($A$10*$B$5)*SIN($A$10*AG348))/$A$10</f>
        <v>47.0755100802946</v>
      </c>
      <c r="AL348" s="32" t="n">
        <f aca="false">ASIN((0.9983271+0.0016764*COS($A$10*2*$B$5))*COS($A$10*AK348)*SIN($A$10*AJ348))/$A$10</f>
        <v>0.612849222364594</v>
      </c>
      <c r="AM348" s="32" t="n">
        <f aca="false">AK348-AL348</f>
        <v>46.46266085793</v>
      </c>
      <c r="AN348" s="35" t="n">
        <f aca="false"> MOD(280.4664567 + 360007.6982779*L348/10 + 0.03032028*L348^2/100 + L348^3/49931000,360)</f>
        <v>261.66982137595</v>
      </c>
      <c r="AO348" s="32" t="n">
        <f aca="false"> AN348 + (1.9146 - 0.004817*L348 - 0.000014*L348^2)*SIN(Q348)+ (0.019993 - 0.000101*L348)*SIN(2*Q348)+ 0.00029*SIN(3*Q348)</f>
        <v>260.949482694694</v>
      </c>
      <c r="AP348" s="32" t="n">
        <f aca="false">ACOS(COS(W348-$A$10*AO348)*COS(Y348))/$A$10</f>
        <v>127.009457814869</v>
      </c>
      <c r="AQ348" s="34" t="n">
        <f aca="false">180 - AP348 -0.1468*(1-0.0549*SIN(Q348))*SIN($A$10*AP348)/(1-0.0167*SIN($A$10*AO348))</f>
        <v>52.8728817951663</v>
      </c>
      <c r="AR348" s="64" t="n">
        <f aca="false">SIN($A$10*AI348)</f>
        <v>-0.658147037574378</v>
      </c>
      <c r="AS348" s="64" t="n">
        <f aca="false">COS($A$10*AI348)*SIN($A$10*$B$5) - TAN($A$10*AG348)*COS($A$10*$B$5)</f>
        <v>0.321847064955164</v>
      </c>
      <c r="AT348" s="24" t="n">
        <f aca="false">IF(OR(AND(AR348*AS348&gt;0), AND(AR348&lt;0,AS348&gt;0)), MOD(ATAN2(AS348,AR348)/$A$10+360,360),  ATAN2(AS348,AR348)/$A$10)</f>
        <v>296.059558026863</v>
      </c>
      <c r="AU348" s="39" t="n">
        <f aca="false"> 385000.56 + (-20905355*COS(P348) - 3699111*COS(2*R348-P348) - 2955968*COS(2*R348) - 569925*COS(2*P348) + (1-0.002516*L348)*48888*COS(Q348) - 3149*COS(2*S348)  +246158*COS(2*R348-2*P348) -(1 - 0.002516*L348)*152138*COS(2*R348-Q348-P348) -170733*COS(2*R348+P348) -(1 - 0.002516*L348)*204586*COS(2*R348-Q348) -(1 - 0.002516*L348)*129620*COS(Q348-P348)  + 108743*COS(R348) +(1-0.002516*L348)*104755*COS(Q348+P348) +10321*COS(2*R348-2*S348) +79661*COS(P348-2*S348) -34782*COS(4*R348-P348) -23210*COS(3*P348)  -21636*COS(4*R348-2*P348) +(1 - 0.002516*L348)*24208*COS(2*R348+Q348-P348) +(1 - 0.002516*L348)*30824*COS(2*R348+Q348) -8379*COS(R348-P348) -(1 - 0.002516*L348)*16675*COS(R348+Q348)  -(1 - 0.002516*L348)*12831*COS(2*R348-Q348+P348) -10445*COS(2*R348+2*P348) -11650*COS(4*R348) +14403*COS(2*R348-3*P348) -(1-0.002516*L348)*7003*COS(Q348-2*P348)  + (1 - 0.002516*L348)*10056*COS(2*R348-Q348-2*P348) +6322*COS(R348+P348) -(1 - 0.002516*L348)*(1-0.002516*L348)*9884*COS(2*R348-2*Q348) +(1-0.002516*L348)*5751*COS(Q348+2*P348) - (1-0.002516*L348)^2*4950*COS(2*R348-2*Q348-P348)  +4130*COS(2*R348+P348-2*S348) -(1-0.002516*L348)*3958*COS(4*R348-Q348-P348) +3258*COS(3*R348-P348) +(1 - 0.002516*L348)*2616*COS(2*R348+Q348+P348) -(1 - 0.002516*L348)*1897*COS(4*R348-Q348-2*P348)  -(1-0.002516*L348)^2*2117*COS(2*Q348-P348) +(1-0.002516*L348)^2*2354*COS(2*R348+2*Q348-P348) -1423*COS(4*R348+P348) -1117*COS(4*P348) -(1-0.002516*L348)*1571*COS(4*R348-Q348)  -1739*COS(R348-2*P348) -4421*COS(2*P348-2*S348) +(1-0.002516*L348)^2*1165*COS(2*Q348+P348) +8752*COS(2*R348-P348-2*S348))/1000</f>
        <v>405387.115147851</v>
      </c>
      <c r="AV348" s="54" t="n">
        <f aca="false">ATAN(0.99664719*TAN($A$10*input!$E$2))</f>
        <v>0.871010436227447</v>
      </c>
      <c r="AW348" s="54" t="n">
        <f aca="false">COS(AV348)</f>
        <v>0.644053912545845</v>
      </c>
      <c r="AX348" s="54" t="n">
        <f aca="false">0.99664719*SIN(AV348)</f>
        <v>0.762415269897027</v>
      </c>
      <c r="AY348" s="54" t="n">
        <f aca="false">6378.14/AU348</f>
        <v>0.015733455163403</v>
      </c>
      <c r="AZ348" s="55" t="n">
        <f aca="false">M348-15*AH348</f>
        <v>-41.1587079893621</v>
      </c>
      <c r="BA348" s="56" t="n">
        <f aca="false">COS($A$10*AG348)*SIN($A$10*AZ348)</f>
        <v>-0.611798566332124</v>
      </c>
      <c r="BB348" s="56" t="n">
        <f aca="false">COS($A$10*AG348)*COS($A$10*AZ348)-AW348*AY348</f>
        <v>0.689735742805361</v>
      </c>
      <c r="BC348" s="56" t="n">
        <f aca="false">SIN($A$10*AG348)-AX348*AY348</f>
        <v>0.356631738066671</v>
      </c>
      <c r="BD348" s="57" t="n">
        <f aca="false">SQRT(BA348^2+BB348^2+BC348^2)</f>
        <v>0.988543917722304</v>
      </c>
      <c r="BE348" s="58" t="n">
        <f aca="false">AU348*BD348</f>
        <v>400742.967002399</v>
      </c>
    </row>
    <row r="349" customFormat="false" ht="15" hidden="false" customHeight="false" outlineLevel="0" collapsed="false">
      <c r="D349" s="41" t="n">
        <f aca="false">K349-INT(275*E349/9)+IF($A$8="common year",2,1)*INT((E349+9)/12)+30</f>
        <v>14</v>
      </c>
      <c r="E349" s="41" t="n">
        <f aca="false">IF(K349&lt;32,1,INT(9*(IF($A$8="common year",2,1)+K349)/275+0.98))</f>
        <v>12</v>
      </c>
      <c r="F349" s="42" t="n">
        <f aca="false">AM349</f>
        <v>36.8343849890283</v>
      </c>
      <c r="G349" s="60" t="n">
        <f aca="false">F349+1.02/(TAN($A$10*(F349+10.3/(F349+5.11)))*60)</f>
        <v>36.8568793768473</v>
      </c>
      <c r="H349" s="43" t="n">
        <f aca="false">100*(1+COS($A$10*AQ349))/2</f>
        <v>72.1768098364776</v>
      </c>
      <c r="I349" s="43" t="n">
        <f aca="false">IF(AI349&gt;180,AT349-180,AT349+180)</f>
        <v>108.644093891181</v>
      </c>
      <c r="J349" s="61" t="n">
        <f aca="false">$J$2+K348</f>
        <v>2459927.5</v>
      </c>
      <c r="K349" s="21" t="n">
        <v>348</v>
      </c>
      <c r="L349" s="62" t="n">
        <f aca="false">(J349-2451545)/36525</f>
        <v>0.229500342231348</v>
      </c>
      <c r="M349" s="63" t="n">
        <f aca="false">MOD(280.46061837+360.98564736629*(J349-2451545)+0.000387933*L349^2-L349^3/38710000+$B$7,360)</f>
        <v>97.6496867281385</v>
      </c>
      <c r="N349" s="30" t="n">
        <f aca="false">0.606433+1336.855225*L349 - INT(0.606433+1336.855225*L349)</f>
        <v>0.415164651266252</v>
      </c>
      <c r="O349" s="35" t="n">
        <f aca="false">22640*SIN(P349)-4586*SIN(P349-2*R349)+2370*SIN(2*R349)+769*SIN(2*P349)-668*SIN(Q349)-412*SIN(2*S349)-212*SIN(2*P349-2*R349)-206*SIN(P349+Q349-2*R349)+192*SIN(P349+2*R349)-165*SIN(Q349-2*R349)-125*SIN(R349)-110*SIN(P349+Q349)+148*SIN(P349-Q349)-55*SIN(2*S349-2*R349)</f>
        <v>-13678.7101090284</v>
      </c>
      <c r="P349" s="32" t="n">
        <f aca="false">2*PI()*(0.374897+1325.55241*L349 - INT(0.374897+1325.55241*L349))</f>
        <v>3.70474663955697</v>
      </c>
      <c r="Q349" s="36" t="n">
        <f aca="false">2*PI()*(0.993133+99.997361*L349 - INT(0.993133+99.997361*L349))</f>
        <v>5.92228901861666</v>
      </c>
      <c r="R349" s="36" t="n">
        <f aca="false">2*PI()*(0.827361+1236.853086*L349 - INT(0.827361+1236.853086*L349))</f>
        <v>4.30754781209361</v>
      </c>
      <c r="S349" s="36" t="n">
        <f aca="false">2*PI()*(0.259086+1342.227825*L349 - INT(0.259086+1342.227825*L349))</f>
        <v>1.89017811256217</v>
      </c>
      <c r="T349" s="36" t="n">
        <f aca="false">S349+(O349+412*SIN(2*S349)+541*SIN(Q349))/206264.8062</f>
        <v>1.82174481945168</v>
      </c>
      <c r="U349" s="36" t="n">
        <f aca="false">S349-2*R349</f>
        <v>-6.72491751162504</v>
      </c>
      <c r="V349" s="34" t="n">
        <f aca="false">-526*SIN(U349)+44*SIN(P349+U349)-31*SIN(-P349+U349)-23*SIN(Q349+U349)+11*SIN(-Q349+U349)-25*SIN(-2*P349+S349)+21*SIN(-P349+S349)</f>
        <v>171.352473192461</v>
      </c>
      <c r="W349" s="36" t="n">
        <f aca="false">2*PI()*(N349+O349/1296000-INT(N349+O349/1296000))</f>
        <v>2.54224017888857</v>
      </c>
      <c r="X349" s="35" t="n">
        <f aca="false">W349*180/PI()</f>
        <v>145.659632758899</v>
      </c>
      <c r="Y349" s="36" t="n">
        <f aca="false">(18520*SIN(T349)+V349)/206264.8062</f>
        <v>0.087805849515416</v>
      </c>
      <c r="Z349" s="36" t="n">
        <f aca="false">Y349*180/PI()</f>
        <v>5.03090459379416</v>
      </c>
      <c r="AA349" s="36" t="n">
        <f aca="false">COS(Y349)*COS(W349)</f>
        <v>-0.822520083902975</v>
      </c>
      <c r="AB349" s="36" t="n">
        <f aca="false">COS(Y349)*SIN(W349)</f>
        <v>0.561934727550571</v>
      </c>
      <c r="AC349" s="36" t="n">
        <f aca="false">SIN(Y349)</f>
        <v>0.0876930644287738</v>
      </c>
      <c r="AD349" s="36" t="n">
        <f aca="false">COS($A$10*(23.4393-46.815*L349/3600))*AB349-SIN($A$10*(23.4393-46.815*L349/3600))*AC349</f>
        <v>0.480698521006405</v>
      </c>
      <c r="AE349" s="36" t="n">
        <f aca="false">SIN($A$10*(23.4393-46.815*L349/3600))*AB349+COS($A$10*(23.4393-46.815*L349/3600))*AC349</f>
        <v>0.303956647366854</v>
      </c>
      <c r="AF349" s="36" t="n">
        <f aca="false">SQRT(1-AE349*AE349)</f>
        <v>0.952685864554262</v>
      </c>
      <c r="AG349" s="35" t="n">
        <f aca="false">ATAN(AE349/AF349)/$A$10</f>
        <v>17.6954043293841</v>
      </c>
      <c r="AH349" s="36" t="n">
        <f aca="false">IF(24*ATAN(AD349/(AA349+AF349))/PI()&gt;0,24*ATAN(AD349/(AA349+AF349))/PI(),24*ATAN(AD349/(AA349+AF349))/PI()+24)</f>
        <v>9.97980409669283</v>
      </c>
      <c r="AI349" s="63" t="n">
        <f aca="false">IF(M349-15*AH349&gt;0,M349-15*AH349,360+M349-15*AH349)</f>
        <v>307.952625277746</v>
      </c>
      <c r="AJ349" s="32" t="n">
        <f aca="false">0.950724+0.051818*COS(P349)+0.009531*COS(2*R349-P349)+0.007843*COS(2*R349)+0.002824*COS(2*P349)+0.000857*COS(2*R349+P349)+0.000533*COS(2*R349-Q349)*(1-0.002495*(J349-2415020)/36525)+0.000401*COS(2*R349-Q349-P349)*(1-0.002495*(J349-2415020)/36525)+0.00032*COS(P349-Q349)*(1-0.002495*(J349-2415020)/36525)-0.000271*COS(R349)</f>
        <v>0.905066001303487</v>
      </c>
      <c r="AK349" s="36" t="n">
        <f aca="false">ASIN(COS($A$10*$B$5)*COS($A$10*AG349)*COS($A$10*AI349)+SIN($A$10*$B$5)*SIN($A$10*AG349))/$A$10</f>
        <v>37.550515665486</v>
      </c>
      <c r="AL349" s="32" t="n">
        <f aca="false">ASIN((0.9983271+0.0016764*COS($A$10*2*$B$5))*COS($A$10*AK349)*SIN($A$10*AJ349))/$A$10</f>
        <v>0.716130676457616</v>
      </c>
      <c r="AM349" s="32" t="n">
        <f aca="false">AK349-AL349</f>
        <v>36.8343849890283</v>
      </c>
      <c r="AN349" s="35" t="n">
        <f aca="false"> MOD(280.4664567 + 360007.6982779*L349/10 + 0.03032028*L349^2/100 + L349^3/49931000,360)</f>
        <v>262.655468739864</v>
      </c>
      <c r="AO349" s="32" t="n">
        <f aca="false"> AN349 + (1.9146 - 0.004817*L349 - 0.000014*L349^2)*SIN(Q349)+ (0.019993 - 0.000101*L349)*SIN(2*Q349)+ 0.00029*SIN(3*Q349)</f>
        <v>261.966338541508</v>
      </c>
      <c r="AP349" s="32" t="n">
        <f aca="false">ACOS(COS(W349-$A$10*AO349)*COS(Y349))/$A$10</f>
        <v>116.197633555566</v>
      </c>
      <c r="AQ349" s="34" t="n">
        <f aca="false">180 - AP349 -0.1468*(1-0.0549*SIN(Q349))*SIN($A$10*AP349)/(1-0.0167*SIN($A$10*AO349))</f>
        <v>63.6702769701432</v>
      </c>
      <c r="AR349" s="64" t="n">
        <f aca="false">SIN($A$10*AI349)</f>
        <v>-0.788519540720209</v>
      </c>
      <c r="AS349" s="64" t="n">
        <f aca="false">COS($A$10*AI349)*SIN($A$10*$B$5) - TAN($A$10*AG349)*COS($A$10*$B$5)</f>
        <v>0.266041878630503</v>
      </c>
      <c r="AT349" s="24" t="n">
        <f aca="false">IF(OR(AND(AR349*AS349&gt;0), AND(AR349&lt;0,AS349&gt;0)), MOD(ATAN2(AS349,AR349)/$A$10+360,360),  ATAN2(AS349,AR349)/$A$10)</f>
        <v>288.644093891181</v>
      </c>
      <c r="AU349" s="39" t="n">
        <f aca="false"> 385000.56 + (-20905355*COS(P349) - 3699111*COS(2*R349-P349) - 2955968*COS(2*R349) - 569925*COS(2*P349) + (1-0.002516*L349)*48888*COS(Q349) - 3149*COS(2*S349)  +246158*COS(2*R349-2*P349) -(1 - 0.002516*L349)*152138*COS(2*R349-Q349-P349) -170733*COS(2*R349+P349) -(1 - 0.002516*L349)*204586*COS(2*R349-Q349) -(1 - 0.002516*L349)*129620*COS(Q349-P349)  + 108743*COS(R349) +(1-0.002516*L349)*104755*COS(Q349+P349) +10321*COS(2*R349-2*S349) +79661*COS(P349-2*S349) -34782*COS(4*R349-P349) -23210*COS(3*P349)  -21636*COS(4*R349-2*P349) +(1 - 0.002516*L349)*24208*COS(2*R349+Q349-P349) +(1 - 0.002516*L349)*30824*COS(2*R349+Q349) -8379*COS(R349-P349) -(1 - 0.002516*L349)*16675*COS(R349+Q349)  -(1 - 0.002516*L349)*12831*COS(2*R349-Q349+P349) -10445*COS(2*R349+2*P349) -11650*COS(4*R349) +14403*COS(2*R349-3*P349) -(1-0.002516*L349)*7003*COS(Q349-2*P349)  + (1 - 0.002516*L349)*10056*COS(2*R349-Q349-2*P349) +6322*COS(R349+P349) -(1 - 0.002516*L349)*(1-0.002516*L349)*9884*COS(2*R349-2*Q349) +(1-0.002516*L349)*5751*COS(Q349+2*P349) - (1-0.002516*L349)^2*4950*COS(2*R349-2*Q349-P349)  +4130*COS(2*R349+P349-2*S349) -(1-0.002516*L349)*3958*COS(4*R349-Q349-P349) +3258*COS(3*R349-P349) +(1 - 0.002516*L349)*2616*COS(2*R349+Q349+P349) -(1 - 0.002516*L349)*1897*COS(4*R349-Q349-2*P349)  -(1-0.002516*L349)^2*2117*COS(2*Q349-P349) +(1-0.002516*L349)^2*2354*COS(2*R349+2*Q349-P349) -1423*COS(4*R349+P349) -1117*COS(4*P349) -(1-0.002516*L349)*1571*COS(4*R349-Q349)  -1739*COS(R349-2*P349) -4421*COS(2*P349-2*S349) +(1-0.002516*L349)^2*1165*COS(2*Q349+P349) +8752*COS(2*R349-P349-2*S349))/1000</f>
        <v>403817.409613788</v>
      </c>
      <c r="AV349" s="54" t="n">
        <f aca="false">ATAN(0.99664719*TAN($A$10*input!$E$2))</f>
        <v>0.871010436227447</v>
      </c>
      <c r="AW349" s="54" t="n">
        <f aca="false">COS(AV349)</f>
        <v>0.644053912545845</v>
      </c>
      <c r="AX349" s="54" t="n">
        <f aca="false">0.99664719*SIN(AV349)</f>
        <v>0.762415269897027</v>
      </c>
      <c r="AY349" s="54" t="n">
        <f aca="false">6378.14/AU349</f>
        <v>0.0157946137243069</v>
      </c>
      <c r="AZ349" s="55" t="n">
        <f aca="false">M349-15*AH349</f>
        <v>-52.047374722254</v>
      </c>
      <c r="BA349" s="56" t="n">
        <f aca="false">COS($A$10*AG349)*SIN($A$10*AZ349)</f>
        <v>-0.751211420368962</v>
      </c>
      <c r="BB349" s="56" t="n">
        <f aca="false">COS($A$10*AG349)*COS($A$10*AZ349)-AW349*AY349</f>
        <v>0.575738467162578</v>
      </c>
      <c r="BC349" s="56" t="n">
        <f aca="false">SIN($A$10*AG349)-AX349*AY349</f>
        <v>0.291914592681318</v>
      </c>
      <c r="BD349" s="57" t="n">
        <f aca="false">SQRT(BA349^2+BB349^2+BC349^2)</f>
        <v>0.9904582323772</v>
      </c>
      <c r="BE349" s="58" t="n">
        <f aca="false">AU349*BD349</f>
        <v>399964.277729212</v>
      </c>
    </row>
    <row r="350" customFormat="false" ht="15" hidden="false" customHeight="false" outlineLevel="0" collapsed="false">
      <c r="D350" s="41" t="n">
        <f aca="false">K350-INT(275*E350/9)+IF($A$8="common year",2,1)*INT((E350+9)/12)+30</f>
        <v>15</v>
      </c>
      <c r="E350" s="41" t="n">
        <f aca="false">IF(K350&lt;32,1,INT(9*(IF($A$8="common year",2,1)+K350)/275+0.98))</f>
        <v>12</v>
      </c>
      <c r="F350" s="42" t="n">
        <f aca="false">AM350</f>
        <v>26.7259757691815</v>
      </c>
      <c r="G350" s="60" t="n">
        <f aca="false">F350+1.02/(TAN($A$10*(F350+10.3/(F350+5.11)))*60)</f>
        <v>26.7592689965787</v>
      </c>
      <c r="H350" s="43" t="n">
        <f aca="false">100*(1+COS($A$10*AQ350))/2</f>
        <v>63.3035718511368</v>
      </c>
      <c r="I350" s="43" t="n">
        <f aca="false">IF(AI350&gt;180,AT350-180,AT350+180)</f>
        <v>103.023902769132</v>
      </c>
      <c r="J350" s="61" t="n">
        <f aca="false">$J$2+K349</f>
        <v>2459928.5</v>
      </c>
      <c r="K350" s="21" t="n">
        <v>349</v>
      </c>
      <c r="L350" s="62" t="n">
        <f aca="false">(J350-2451545)/36525</f>
        <v>0.22952772073922</v>
      </c>
      <c r="M350" s="63" t="n">
        <f aca="false">MOD(280.46061837+360.98564736629*(J350-2451545)+0.000387933*L350^2-L350^3/38710000+$B$7,360)</f>
        <v>98.6353340991773</v>
      </c>
      <c r="N350" s="30" t="n">
        <f aca="false">0.606433+1336.855225*L350 - INT(0.606433+1336.855225*L350)</f>
        <v>0.451765752566701</v>
      </c>
      <c r="O350" s="35" t="n">
        <f aca="false">22640*SIN(P350)-4586*SIN(P350-2*R350)+2370*SIN(2*R350)+769*SIN(2*P350)-668*SIN(Q350)-412*SIN(2*S350)-212*SIN(2*P350-2*R350)-206*SIN(P350+Q350-2*R350)+192*SIN(P350+2*R350)-165*SIN(Q350-2*R350)-125*SIN(R350)-110*SIN(P350+Q350)+148*SIN(P350-Q350)-55*SIN(2*S350-2*R350)</f>
        <v>-17976.3164818159</v>
      </c>
      <c r="P350" s="32" t="n">
        <f aca="false">2*PI()*(0.374897+1325.55241*L350 - INT(0.374897+1325.55241*L350))</f>
        <v>3.93277378333279</v>
      </c>
      <c r="Q350" s="36" t="n">
        <f aca="false">2*PI()*(0.993133+99.997361*L350 - INT(0.993133+99.997361*L350))</f>
        <v>5.93949098848364</v>
      </c>
      <c r="R350" s="36" t="n">
        <f aca="false">2*PI()*(0.827361+1236.853086*L350 - INT(0.827361+1236.853086*L350))</f>
        <v>4.52031652221263</v>
      </c>
      <c r="S350" s="36" t="n">
        <f aca="false">2*PI()*(0.259086+1342.227825*L350 - INT(0.259086+1342.227825*L350))</f>
        <v>2.12107383190317</v>
      </c>
      <c r="T350" s="36" t="n">
        <f aca="false">S350+(O350+412*SIN(2*S350)+541*SIN(Q350))/206264.8062</f>
        <v>2.03125774831683</v>
      </c>
      <c r="U350" s="36" t="n">
        <f aca="false">S350-2*R350</f>
        <v>-6.91955921252209</v>
      </c>
      <c r="V350" s="34" t="n">
        <f aca="false">-526*SIN(U350)+44*SIN(P350+U350)-31*SIN(-P350+U350)-23*SIN(Q350+U350)+11*SIN(-Q350+U350)-25*SIN(-2*P350+S350)+21*SIN(-P350+S350)</f>
        <v>257.835290772136</v>
      </c>
      <c r="W350" s="36" t="n">
        <f aca="false">2*PI()*(N350+O350/1296000-INT(N350+O350/1296000))</f>
        <v>2.75137629715063</v>
      </c>
      <c r="X350" s="35" t="n">
        <f aca="false">W350*180/PI()</f>
        <v>157.642249679063</v>
      </c>
      <c r="Y350" s="36" t="n">
        <f aca="false">(18520*SIN(T350)+V350)/206264.8062</f>
        <v>0.0816859275148647</v>
      </c>
      <c r="Z350" s="36" t="n">
        <f aca="false">Y350*180/PI()</f>
        <v>4.68025889221331</v>
      </c>
      <c r="AA350" s="36" t="n">
        <f aca="false">COS(Y350)*COS(W350)</f>
        <v>-0.921743001987146</v>
      </c>
      <c r="AB350" s="36" t="n">
        <f aca="false">COS(Y350)*SIN(W350)</f>
        <v>0.379120133324492</v>
      </c>
      <c r="AC350" s="36" t="n">
        <f aca="false">SIN(Y350)</f>
        <v>0.0815951150237787</v>
      </c>
      <c r="AD350" s="36" t="n">
        <f aca="false">COS($A$10*(23.4393-46.815*L350/3600))*AB350-SIN($A$10*(23.4393-46.815*L350/3600))*AC350</f>
        <v>0.315390969582003</v>
      </c>
      <c r="AE350" s="36" t="n">
        <f aca="false">SIN($A$10*(23.4393-46.815*L350/3600))*AB350+COS($A$10*(23.4393-46.815*L350/3600))*AC350</f>
        <v>0.225651001756802</v>
      </c>
      <c r="AF350" s="36" t="n">
        <f aca="false">SQRT(1-AE350*AE350)</f>
        <v>0.974208204341429</v>
      </c>
      <c r="AG350" s="35" t="n">
        <f aca="false">ATAN(AE350/AF350)/$A$10</f>
        <v>13.0411623505742</v>
      </c>
      <c r="AH350" s="36" t="n">
        <f aca="false">IF(24*ATAN(AD350/(AA350+AF350))/PI()&gt;0,24*ATAN(AD350/(AA350+AF350))/PI(),24*ATAN(AD350/(AA350+AF350))/PI()+24)</f>
        <v>10.7407129460041</v>
      </c>
      <c r="AI350" s="63" t="n">
        <f aca="false">IF(M350-15*AH350&gt;0,M350-15*AH350,360+M350-15*AH350)</f>
        <v>297.524639909116</v>
      </c>
      <c r="AJ350" s="32" t="n">
        <f aca="false">0.950724+0.051818*COS(P350)+0.009531*COS(2*R350-P350)+0.007843*COS(2*R350)+0.002824*COS(2*P350)+0.000857*COS(2*R350+P350)+0.000533*COS(2*R350-Q350)*(1-0.002495*(J350-2415020)/36525)+0.000401*COS(2*R350-Q350-P350)*(1-0.002495*(J350-2415020)/36525)+0.00032*COS(P350-Q350)*(1-0.002495*(J350-2415020)/36525)-0.000271*COS(R350)</f>
        <v>0.911105723851478</v>
      </c>
      <c r="AK350" s="36" t="n">
        <f aca="false">ASIN(COS($A$10*$B$5)*COS($A$10*AG350)*COS($A$10*AI350)+SIN($A$10*$B$5)*SIN($A$10*AG350))/$A$10</f>
        <v>27.5323049534957</v>
      </c>
      <c r="AL350" s="32" t="n">
        <f aca="false">ASIN((0.9983271+0.0016764*COS($A$10*2*$B$5))*COS($A$10*AK350)*SIN($A$10*AJ350))/$A$10</f>
        <v>0.806329184314242</v>
      </c>
      <c r="AM350" s="32" t="n">
        <f aca="false">AK350-AL350</f>
        <v>26.7259757691815</v>
      </c>
      <c r="AN350" s="35" t="n">
        <f aca="false"> MOD(280.4664567 + 360007.6982779*L350/10 + 0.03032028*L350^2/100 + L350^3/49931000,360)</f>
        <v>263.641116103776</v>
      </c>
      <c r="AO350" s="32" t="n">
        <f aca="false"> AN350 + (1.9146 - 0.004817*L350 - 0.000014*L350^2)*SIN(Q350)+ (0.019993 - 0.000101*L350)*SIN(2*Q350)+ 0.00029*SIN(3*Q350)</f>
        <v>262.983410615849</v>
      </c>
      <c r="AP350" s="32" t="n">
        <f aca="false">ACOS(COS(W350-$A$10*AO350)*COS(Y350))/$A$10</f>
        <v>105.288754760204</v>
      </c>
      <c r="AQ350" s="34" t="n">
        <f aca="false">180 - AP350 -0.1468*(1-0.0549*SIN(Q350))*SIN($A$10*AP350)/(1-0.0167*SIN($A$10*AO350))</f>
        <v>74.5693725230734</v>
      </c>
      <c r="AR350" s="64" t="n">
        <f aca="false">SIN($A$10*AI350)</f>
        <v>-0.88681217730616</v>
      </c>
      <c r="AS350" s="64" t="n">
        <f aca="false">COS($A$10*AI350)*SIN($A$10*$B$5) - TAN($A$10*AG350)*COS($A$10*$B$5)</f>
        <v>0.205126441922571</v>
      </c>
      <c r="AT350" s="24" t="n">
        <f aca="false">IF(OR(AND(AR350*AS350&gt;0), AND(AR350&lt;0,AS350&gt;0)), MOD(ATAN2(AS350,AR350)/$A$10+360,360),  ATAN2(AS350,AR350)/$A$10)</f>
        <v>283.023902769132</v>
      </c>
      <c r="AU350" s="39" t="n">
        <f aca="false"> 385000.56 + (-20905355*COS(P350) - 3699111*COS(2*R350-P350) - 2955968*COS(2*R350) - 569925*COS(2*P350) + (1-0.002516*L350)*48888*COS(Q350) - 3149*COS(2*S350)  +246158*COS(2*R350-2*P350) -(1 - 0.002516*L350)*152138*COS(2*R350-Q350-P350) -170733*COS(2*R350+P350) -(1 - 0.002516*L350)*204586*COS(2*R350-Q350) -(1 - 0.002516*L350)*129620*COS(Q350-P350)  + 108743*COS(R350) +(1-0.002516*L350)*104755*COS(Q350+P350) +10321*COS(2*R350-2*S350) +79661*COS(P350-2*S350) -34782*COS(4*R350-P350) -23210*COS(3*P350)  -21636*COS(4*R350-2*P350) +(1 - 0.002516*L350)*24208*COS(2*R350+Q350-P350) +(1 - 0.002516*L350)*30824*COS(2*R350+Q350) -8379*COS(R350-P350) -(1 - 0.002516*L350)*16675*COS(R350+Q350)  -(1 - 0.002516*L350)*12831*COS(2*R350-Q350+P350) -10445*COS(2*R350+2*P350) -11650*COS(4*R350) +14403*COS(2*R350-3*P350) -(1-0.002516*L350)*7003*COS(Q350-2*P350)  + (1 - 0.002516*L350)*10056*COS(2*R350-Q350-2*P350) +6322*COS(R350+P350) -(1 - 0.002516*L350)*(1-0.002516*L350)*9884*COS(2*R350-2*Q350) +(1-0.002516*L350)*5751*COS(Q350+2*P350) - (1-0.002516*L350)^2*4950*COS(2*R350-2*Q350-P350)  +4130*COS(2*R350+P350-2*S350) -(1-0.002516*L350)*3958*COS(4*R350-Q350-P350) +3258*COS(3*R350-P350) +(1 - 0.002516*L350)*2616*COS(2*R350+Q350+P350) -(1 - 0.002516*L350)*1897*COS(4*R350-Q350-2*P350)  -(1-0.002516*L350)^2*2117*COS(2*Q350-P350) +(1-0.002516*L350)^2*2354*COS(2*R350+2*Q350-P350) -1423*COS(4*R350+P350) -1117*COS(4*P350) -(1-0.002516*L350)*1571*COS(4*R350-Q350)  -1739*COS(R350-2*P350) -4421*COS(2*P350-2*S350) +(1-0.002516*L350)^2*1165*COS(2*Q350+P350) +8752*COS(2*R350-P350-2*S350))/1000</f>
        <v>401089.834195519</v>
      </c>
      <c r="AV350" s="54" t="n">
        <f aca="false">ATAN(0.99664719*TAN($A$10*input!$E$2))</f>
        <v>0.871010436227447</v>
      </c>
      <c r="AW350" s="54" t="n">
        <f aca="false">COS(AV350)</f>
        <v>0.644053912545845</v>
      </c>
      <c r="AX350" s="54" t="n">
        <f aca="false">0.99664719*SIN(AV350)</f>
        <v>0.762415269897027</v>
      </c>
      <c r="AY350" s="54" t="n">
        <f aca="false">6378.14/AU350</f>
        <v>0.0159020235773187</v>
      </c>
      <c r="AZ350" s="55" t="n">
        <f aca="false">M350-15*AH350</f>
        <v>-62.475360090884</v>
      </c>
      <c r="BA350" s="56" t="n">
        <f aca="false">COS($A$10*AG350)*SIN($A$10*AZ350)</f>
        <v>-0.863939698841548</v>
      </c>
      <c r="BB350" s="56" t="n">
        <f aca="false">COS($A$10*AG350)*COS($A$10*AZ350)-AW350*AY350</f>
        <v>0.439969103617686</v>
      </c>
      <c r="BC350" s="56" t="n">
        <f aca="false">SIN($A$10*AG350)-AX350*AY350</f>
        <v>0.213527056159192</v>
      </c>
      <c r="BD350" s="57" t="n">
        <f aca="false">SQRT(BA350^2+BB350^2+BC350^2)</f>
        <v>0.992752949673073</v>
      </c>
      <c r="BE350" s="58" t="n">
        <f aca="false">AU350*BD350</f>
        <v>398183.115981485</v>
      </c>
    </row>
    <row r="351" customFormat="false" ht="15" hidden="false" customHeight="false" outlineLevel="0" collapsed="false">
      <c r="D351" s="41" t="n">
        <f aca="false">K351-INT(275*E351/9)+IF($A$8="common year",2,1)*INT((E351+9)/12)+30</f>
        <v>16</v>
      </c>
      <c r="E351" s="41" t="n">
        <f aca="false">IF(K351&lt;32,1,INT(9*(IF($A$8="common year",2,1)+K351)/275+0.98))</f>
        <v>12</v>
      </c>
      <c r="F351" s="42" t="n">
        <f aca="false">AM351</f>
        <v>16.2537607683362</v>
      </c>
      <c r="G351" s="60" t="n">
        <f aca="false">F351+1.02/(TAN($A$10*(F351+10.3/(F351+5.11)))*60)</f>
        <v>16.31029604648</v>
      </c>
      <c r="H351" s="43" t="n">
        <f aca="false">100*(1+COS($A$10*AQ351))/2</f>
        <v>53.7938534348846</v>
      </c>
      <c r="I351" s="43" t="n">
        <f aca="false">IF(AI351&gt;180,AT351-180,AT351+180)</f>
        <v>98.3716939535616</v>
      </c>
      <c r="J351" s="61" t="n">
        <f aca="false">$J$2+K350</f>
        <v>2459929.5</v>
      </c>
      <c r="K351" s="21" t="n">
        <v>350</v>
      </c>
      <c r="L351" s="62" t="n">
        <f aca="false">(J351-2451545)/36525</f>
        <v>0.229555099247091</v>
      </c>
      <c r="M351" s="63" t="n">
        <f aca="false">MOD(280.46061837+360.98564736629*(J351-2451545)+0.000387933*L351^2-L351^3/38710000+$B$7,360)</f>
        <v>99.6209814706817</v>
      </c>
      <c r="N351" s="30" t="n">
        <f aca="false">0.606433+1336.855225*L351 - INT(0.606433+1336.855225*L351)</f>
        <v>0.488366853867205</v>
      </c>
      <c r="O351" s="35" t="n">
        <f aca="false">22640*SIN(P351)-4586*SIN(P351-2*R351)+2370*SIN(2*R351)+769*SIN(2*P351)-668*SIN(Q351)-412*SIN(2*S351)-212*SIN(2*P351-2*R351)-206*SIN(P351+Q351-2*R351)+192*SIN(P351+2*R351)-165*SIN(Q351-2*R351)-125*SIN(R351)-110*SIN(P351+Q351)+148*SIN(P351-Q351)-55*SIN(2*S351-2*R351)</f>
        <v>-21698.4325374376</v>
      </c>
      <c r="P351" s="32" t="n">
        <f aca="false">2*PI()*(0.374897+1325.55241*L351 - INT(0.374897+1325.55241*L351))</f>
        <v>4.16080092710861</v>
      </c>
      <c r="Q351" s="36" t="n">
        <f aca="false">2*PI()*(0.993133+99.997361*L351 - INT(0.993133+99.997361*L351))</f>
        <v>5.95669295835063</v>
      </c>
      <c r="R351" s="36" t="n">
        <f aca="false">2*PI()*(0.827361+1236.853086*L351 - INT(0.827361+1236.853086*L351))</f>
        <v>4.73308523233166</v>
      </c>
      <c r="S351" s="36" t="n">
        <f aca="false">2*PI()*(0.259086+1342.227825*L351 - INT(0.259086+1342.227825*L351))</f>
        <v>2.35196955124418</v>
      </c>
      <c r="T351" s="36" t="n">
        <f aca="false">S351+(O351+412*SIN(2*S351)+541*SIN(Q351))/206264.8062</f>
        <v>2.24393401577867</v>
      </c>
      <c r="U351" s="36" t="n">
        <f aca="false">S351-2*R351</f>
        <v>-7.11420091341913</v>
      </c>
      <c r="V351" s="34" t="n">
        <f aca="false">-526*SIN(U351)+44*SIN(P351+U351)-31*SIN(-P351+U351)-23*SIN(Q351+U351)+11*SIN(-Q351+U351)-25*SIN(-2*P351+S351)+21*SIN(-P351+S351)</f>
        <v>338.110271481133</v>
      </c>
      <c r="W351" s="36" t="n">
        <f aca="false">2*PI()*(N351+O351/1296000-INT(N351+O351/1296000))</f>
        <v>2.96330247120413</v>
      </c>
      <c r="X351" s="35" t="n">
        <f aca="false">W351*180/PI()</f>
        <v>169.784725020684</v>
      </c>
      <c r="Y351" s="36" t="n">
        <f aca="false">(18520*SIN(T351)+V351)/206264.8062</f>
        <v>0.0718412942209143</v>
      </c>
      <c r="Z351" s="36" t="n">
        <f aca="false">Y351*180/PI()</f>
        <v>4.11620295361598</v>
      </c>
      <c r="AA351" s="36" t="n">
        <f aca="false">COS(Y351)*COS(W351)</f>
        <v>-0.981609775290519</v>
      </c>
      <c r="AB351" s="36" t="n">
        <f aca="false">COS(Y351)*SIN(W351)</f>
        <v>0.176889656626169</v>
      </c>
      <c r="AC351" s="36" t="n">
        <f aca="false">SIN(Y351)</f>
        <v>0.071779512625635</v>
      </c>
      <c r="AD351" s="36" t="n">
        <f aca="false">COS($A$10*(23.4393-46.815*L351/3600))*AB351-SIN($A$10*(23.4393-46.815*L351/3600))*AC351</f>
        <v>0.133747912383181</v>
      </c>
      <c r="AE351" s="36" t="n">
        <f aca="false">SIN($A$10*(23.4393-46.815*L351/3600))*AB351+COS($A$10*(23.4393-46.815*L351/3600))*AC351</f>
        <v>0.136212132305601</v>
      </c>
      <c r="AF351" s="36" t="n">
        <f aca="false">SQRT(1-AE351*AE351)</f>
        <v>0.990679693449281</v>
      </c>
      <c r="AG351" s="35" t="n">
        <f aca="false">ATAN(AE351/AF351)/$A$10</f>
        <v>7.82871746134361</v>
      </c>
      <c r="AH351" s="36" t="n">
        <f aca="false">IF(24*ATAN(AD351/(AA351+AF351))/PI()&gt;0,24*ATAN(AD351/(AA351+AF351))/PI(),24*ATAN(AD351/(AA351+AF351))/PI()+24)</f>
        <v>11.482734728071</v>
      </c>
      <c r="AI351" s="63" t="n">
        <f aca="false">IF(M351-15*AH351&gt;0,M351-15*AH351,360+M351-15*AH351)</f>
        <v>287.379960549617</v>
      </c>
      <c r="AJ351" s="32" t="n">
        <f aca="false">0.950724+0.051818*COS(P351)+0.009531*COS(2*R351-P351)+0.007843*COS(2*R351)+0.002824*COS(2*P351)+0.000857*COS(2*R351+P351)+0.000533*COS(2*R351-Q351)*(1-0.002495*(J351-2415020)/36525)+0.000401*COS(2*R351-Q351-P351)*(1-0.002495*(J351-2415020)/36525)+0.00032*COS(P351-Q351)*(1-0.002495*(J351-2415020)/36525)-0.000271*COS(R351)</f>
        <v>0.919950113764284</v>
      </c>
      <c r="AK351" s="36" t="n">
        <f aca="false">ASIN(COS($A$10*$B$5)*COS($A$10*AG351)*COS($A$10*AI351)+SIN($A$10*$B$5)*SIN($A$10*AG351))/$A$10</f>
        <v>17.1311653641796</v>
      </c>
      <c r="AL351" s="32" t="n">
        <f aca="false">ASIN((0.9983271+0.0016764*COS($A$10*2*$B$5))*COS($A$10*AK351)*SIN($A$10*AJ351))/$A$10</f>
        <v>0.877404595843375</v>
      </c>
      <c r="AM351" s="32" t="n">
        <f aca="false">AK351-AL351</f>
        <v>16.2537607683362</v>
      </c>
      <c r="AN351" s="35" t="n">
        <f aca="false"> MOD(280.4664567 + 360007.6982779*L351/10 + 0.03032028*L351^2/100 + L351^3/49931000,360)</f>
        <v>264.626763467692</v>
      </c>
      <c r="AO351" s="32" t="n">
        <f aca="false"> AN351 + (1.9146 - 0.004817*L351 - 0.000014*L351^2)*SIN(Q351)+ (0.019993 - 0.000101*L351)*SIN(2*Q351)+ 0.00029*SIN(3*Q351)</f>
        <v>264.000689137105</v>
      </c>
      <c r="AP351" s="32" t="n">
        <f aca="false">ACOS(COS(W351-$A$10*AO351)*COS(Y351))/$A$10</f>
        <v>94.2050695444999</v>
      </c>
      <c r="AQ351" s="34" t="n">
        <f aca="false">180 - AP351 -0.1468*(1-0.0549*SIN(Q351))*SIN($A$10*AP351)/(1-0.0167*SIN($A$10*AO351))</f>
        <v>85.6483817533969</v>
      </c>
      <c r="AR351" s="64" t="n">
        <f aca="false">SIN($A$10*AI351)</f>
        <v>-0.954344860978651</v>
      </c>
      <c r="AS351" s="64" t="n">
        <f aca="false">COS($A$10*AI351)*SIN($A$10*$B$5) - TAN($A$10*AG351)*COS($A$10*$B$5)</f>
        <v>0.140443663933013</v>
      </c>
      <c r="AT351" s="24" t="n">
        <f aca="false">IF(OR(AND(AR351*AS351&gt;0), AND(AR351&lt;0,AS351&gt;0)), MOD(ATAN2(AS351,AR351)/$A$10+360,360),  ATAN2(AS351,AR351)/$A$10)</f>
        <v>278.371693953562</v>
      </c>
      <c r="AU351" s="39" t="n">
        <f aca="false"> 385000.56 + (-20905355*COS(P351) - 3699111*COS(2*R351-P351) - 2955968*COS(2*R351) - 569925*COS(2*P351) + (1-0.002516*L351)*48888*COS(Q351) - 3149*COS(2*S351)  +246158*COS(2*R351-2*P351) -(1 - 0.002516*L351)*152138*COS(2*R351-Q351-P351) -170733*COS(2*R351+P351) -(1 - 0.002516*L351)*204586*COS(2*R351-Q351) -(1 - 0.002516*L351)*129620*COS(Q351-P351)  + 108743*COS(R351) +(1-0.002516*L351)*104755*COS(Q351+P351) +10321*COS(2*R351-2*S351) +79661*COS(P351-2*S351) -34782*COS(4*R351-P351) -23210*COS(3*P351)  -21636*COS(4*R351-2*P351) +(1 - 0.002516*L351)*24208*COS(2*R351+Q351-P351) +(1 - 0.002516*L351)*30824*COS(2*R351+Q351) -8379*COS(R351-P351) -(1 - 0.002516*L351)*16675*COS(R351+Q351)  -(1 - 0.002516*L351)*12831*COS(2*R351-Q351+P351) -10445*COS(2*R351+2*P351) -11650*COS(4*R351) +14403*COS(2*R351-3*P351) -(1-0.002516*L351)*7003*COS(Q351-2*P351)  + (1 - 0.002516*L351)*10056*COS(2*R351-Q351-2*P351) +6322*COS(R351+P351) -(1 - 0.002516*L351)*(1-0.002516*L351)*9884*COS(2*R351-2*Q351) +(1-0.002516*L351)*5751*COS(Q351+2*P351) - (1-0.002516*L351)^2*4950*COS(2*R351-2*Q351-P351)  +4130*COS(2*R351+P351-2*S351) -(1-0.002516*L351)*3958*COS(4*R351-Q351-P351) +3258*COS(3*R351-P351) +(1 - 0.002516*L351)*2616*COS(2*R351+Q351+P351) -(1 - 0.002516*L351)*1897*COS(4*R351-Q351-2*P351)  -(1-0.002516*L351)^2*2117*COS(2*Q351-P351) +(1-0.002516*L351)^2*2354*COS(2*R351+2*Q351-P351) -1423*COS(4*R351+P351) -1117*COS(4*P351) -(1-0.002516*L351)*1571*COS(4*R351-Q351)  -1739*COS(R351-2*P351) -4421*COS(2*P351-2*S351) +(1-0.002516*L351)^2*1165*COS(2*Q351+P351) +8752*COS(2*R351-P351-2*S351))/1000</f>
        <v>397212.669267472</v>
      </c>
      <c r="AV351" s="54" t="n">
        <f aca="false">ATAN(0.99664719*TAN($A$10*input!$E$2))</f>
        <v>0.871010436227447</v>
      </c>
      <c r="AW351" s="54" t="n">
        <f aca="false">COS(AV351)</f>
        <v>0.644053912545845</v>
      </c>
      <c r="AX351" s="54" t="n">
        <f aca="false">0.99664719*SIN(AV351)</f>
        <v>0.762415269897027</v>
      </c>
      <c r="AY351" s="54" t="n">
        <f aca="false">6378.14/AU351</f>
        <v>0.0160572421110394</v>
      </c>
      <c r="AZ351" s="55" t="n">
        <f aca="false">M351-15*AH351</f>
        <v>-72.6200394503834</v>
      </c>
      <c r="BA351" s="56" t="n">
        <f aca="false">COS($A$10*AG351)*SIN($A$10*AZ351)</f>
        <v>-0.945450074319227</v>
      </c>
      <c r="BB351" s="56" t="n">
        <f aca="false">COS($A$10*AG351)*COS($A$10*AZ351)-AW351*AY351</f>
        <v>0.285581253587846</v>
      </c>
      <c r="BC351" s="56" t="n">
        <f aca="false">SIN($A$10*AG351)-AX351*AY351</f>
        <v>0.123969845727711</v>
      </c>
      <c r="BD351" s="57" t="n">
        <f aca="false">SQRT(BA351^2+BB351^2+BC351^2)</f>
        <v>0.995389882448476</v>
      </c>
      <c r="BE351" s="58" t="n">
        <f aca="false">AU351*BD351</f>
        <v>395381.472169194</v>
      </c>
    </row>
    <row r="352" customFormat="false" ht="15" hidden="false" customHeight="false" outlineLevel="0" collapsed="false">
      <c r="D352" s="41" t="n">
        <f aca="false">K352-INT(275*E352/9)+IF($A$8="common year",2,1)*INT((E352+9)/12)+30</f>
        <v>17</v>
      </c>
      <c r="E352" s="41" t="n">
        <f aca="false">IF(K352&lt;32,1,INT(9*(IF($A$8="common year",2,1)+K352)/275+0.98))</f>
        <v>12</v>
      </c>
      <c r="F352" s="42" t="n">
        <f aca="false">AM352</f>
        <v>5.44699837700386</v>
      </c>
      <c r="G352" s="60" t="n">
        <f aca="false">F352+1.02/(TAN($A$10*(F352+10.3/(F352+5.11)))*60)</f>
        <v>5.5980177220203</v>
      </c>
      <c r="H352" s="43" t="n">
        <f aca="false">100*(1+COS($A$10*AQ352))/2</f>
        <v>43.9108531733332</v>
      </c>
      <c r="I352" s="43" t="n">
        <f aca="false">IF(AI352&gt;180,AT352-180,AT352+180)</f>
        <v>94.16874525696</v>
      </c>
      <c r="J352" s="61" t="n">
        <f aca="false">$J$2+K351</f>
        <v>2459930.5</v>
      </c>
      <c r="K352" s="21" t="n">
        <v>351</v>
      </c>
      <c r="L352" s="62" t="n">
        <f aca="false">(J352-2451545)/36525</f>
        <v>0.229582477754962</v>
      </c>
      <c r="M352" s="63" t="n">
        <f aca="false">MOD(280.46061837+360.98564736629*(J352-2451545)+0.000387933*L352^2-L352^3/38710000+$B$7,360)</f>
        <v>100.606628841721</v>
      </c>
      <c r="N352" s="30" t="n">
        <f aca="false">0.606433+1336.855225*L352 - INT(0.606433+1336.855225*L352)</f>
        <v>0.524967955167654</v>
      </c>
      <c r="O352" s="35" t="n">
        <f aca="false">22640*SIN(P352)-4586*SIN(P352-2*R352)+2370*SIN(2*R352)+769*SIN(2*P352)-668*SIN(Q352)-412*SIN(2*S352)-212*SIN(2*P352-2*R352)-206*SIN(P352+Q352-2*R352)+192*SIN(P352+2*R352)-165*SIN(Q352-2*R352)-125*SIN(R352)-110*SIN(P352+Q352)+148*SIN(P352-Q352)-55*SIN(2*S352-2*R352)</f>
        <v>-24542.3941582323</v>
      </c>
      <c r="P352" s="32" t="n">
        <f aca="false">2*PI()*(0.374897+1325.55241*L352 - INT(0.374897+1325.55241*L352))</f>
        <v>4.38882807088442</v>
      </c>
      <c r="Q352" s="36" t="n">
        <f aca="false">2*PI()*(0.993133+99.997361*L352 - INT(0.993133+99.997361*L352))</f>
        <v>5.97389492821764</v>
      </c>
      <c r="R352" s="36" t="n">
        <f aca="false">2*PI()*(0.827361+1236.853086*L352 - INT(0.827361+1236.853086*L352))</f>
        <v>4.94585394245068</v>
      </c>
      <c r="S352" s="36" t="n">
        <f aca="false">2*PI()*(0.259086+1342.227825*L352 - INT(0.259086+1342.227825*L352))</f>
        <v>2.58286527058518</v>
      </c>
      <c r="T352" s="36" t="n">
        <f aca="false">S352+(O352+412*SIN(2*S352)+541*SIN(Q352))/206264.8062</f>
        <v>2.46128636915054</v>
      </c>
      <c r="U352" s="36" t="n">
        <f aca="false">S352-2*R352</f>
        <v>-7.30884261431618</v>
      </c>
      <c r="V352" s="34" t="n">
        <f aca="false">-526*SIN(U352)+44*SIN(P352+U352)-31*SIN(-P352+U352)-23*SIN(Q352+U352)+11*SIN(-Q352+U352)-25*SIN(-2*P352+S352)+21*SIN(-P352+S352)</f>
        <v>408.932165174639</v>
      </c>
      <c r="W352" s="36" t="n">
        <f aca="false">2*PI()*(N352+O352/1296000-INT(N352+O352/1296000))</f>
        <v>3.17948605809858</v>
      </c>
      <c r="X352" s="35" t="n">
        <f aca="false">W352*180/PI()</f>
        <v>182.171132149735</v>
      </c>
      <c r="Y352" s="36" t="n">
        <f aca="false">(18520*SIN(T352)+V352)/206264.8062</f>
        <v>0.0584616898048485</v>
      </c>
      <c r="Z352" s="36" t="n">
        <f aca="false">Y352*180/PI()</f>
        <v>3.34960808902081</v>
      </c>
      <c r="AA352" s="36" t="n">
        <f aca="false">COS(Y352)*COS(W352)</f>
        <v>-0.997574959330885</v>
      </c>
      <c r="AB352" s="36" t="n">
        <f aca="false">COS(Y352)*SIN(W352)</f>
        <v>-0.0378196150506463</v>
      </c>
      <c r="AC352" s="36" t="n">
        <f aca="false">SIN(Y352)</f>
        <v>0.0584283940683276</v>
      </c>
      <c r="AD352" s="36" t="n">
        <f aca="false">COS($A$10*(23.4393-46.815*L352/3600))*AB352-SIN($A$10*(23.4393-46.815*L352/3600))*AC352</f>
        <v>-0.0579382953002187</v>
      </c>
      <c r="AE352" s="36" t="n">
        <f aca="false">SIN($A$10*(23.4393-46.815*L352/3600))*AB352+COS($A$10*(23.4393-46.815*L352/3600))*AC352</f>
        <v>0.0385662346319616</v>
      </c>
      <c r="AF352" s="36" t="n">
        <f aca="false">SQRT(1-AE352*AE352)</f>
        <v>0.999256046039409</v>
      </c>
      <c r="AG352" s="35" t="n">
        <f aca="false">ATAN(AE352/AF352)/$A$10</f>
        <v>2.21023060658292</v>
      </c>
      <c r="AH352" s="36" t="n">
        <f aca="false">IF(24*ATAN(AD352/(AA352+AF352))/PI()&gt;0,24*ATAN(AD352/(AA352+AF352))/PI(),24*ATAN(AD352/(AA352+AF352))/PI()+24)</f>
        <v>12.2215970327238</v>
      </c>
      <c r="AI352" s="63" t="n">
        <f aca="false">IF(M352-15*AH352&gt;0,M352-15*AH352,360+M352-15*AH352)</f>
        <v>277.282673350864</v>
      </c>
      <c r="AJ352" s="32" t="n">
        <f aca="false">0.950724+0.051818*COS(P352)+0.009531*COS(2*R352-P352)+0.007843*COS(2*R352)+0.002824*COS(2*P352)+0.000857*COS(2*R352+P352)+0.000533*COS(2*R352-Q352)*(1-0.002495*(J352-2415020)/36525)+0.000401*COS(2*R352-Q352-P352)*(1-0.002495*(J352-2415020)/36525)+0.00032*COS(P352-Q352)*(1-0.002495*(J352-2415020)/36525)-0.000271*COS(R352)</f>
        <v>0.931553297056325</v>
      </c>
      <c r="AK352" s="36" t="n">
        <f aca="false">ASIN(COS($A$10*$B$5)*COS($A$10*AG352)*COS($A$10*AI352)+SIN($A$10*$B$5)*SIN($A$10*AG352))/$A$10</f>
        <v>6.37097970008595</v>
      </c>
      <c r="AL352" s="32" t="n">
        <f aca="false">ASIN((0.9983271+0.0016764*COS($A$10*2*$B$5))*COS($A$10*AK352)*SIN($A$10*AJ352))/$A$10</f>
        <v>0.923981323082086</v>
      </c>
      <c r="AM352" s="32" t="n">
        <f aca="false">AK352-AL352</f>
        <v>5.44699837700386</v>
      </c>
      <c r="AN352" s="35" t="n">
        <f aca="false"> MOD(280.4664567 + 360007.6982779*L352/10 + 0.03032028*L352^2/100 + L352^3/49931000,360)</f>
        <v>265.612410831607</v>
      </c>
      <c r="AO352" s="32" t="n">
        <f aca="false"> AN352 + (1.9146 - 0.004817*L352 - 0.000014*L352^2)*SIN(Q352)+ (0.019993 - 0.000101*L352)*SIN(2*Q352)+ 0.00029*SIN(3*Q352)</f>
        <v>265.018164248688</v>
      </c>
      <c r="AP352" s="32" t="n">
        <f aca="false">ACOS(COS(W352-$A$10*AO352)*COS(Y352))/$A$10</f>
        <v>82.8593159341413</v>
      </c>
      <c r="AQ352" s="34" t="n">
        <f aca="false">180 - AP352 -0.1468*(1-0.0549*SIN(Q352))*SIN($A$10*AP352)/(1-0.0167*SIN($A$10*AO352))</f>
        <v>96.9950120983145</v>
      </c>
      <c r="AR352" s="64" t="n">
        <f aca="false">SIN($A$10*AI352)</f>
        <v>-0.991932822471771</v>
      </c>
      <c r="AS352" s="64" t="n">
        <f aca="false">COS($A$10*AI352)*SIN($A$10*$B$5) - TAN($A$10*AG352)*COS($A$10*$B$5)</f>
        <v>0.0722989992932482</v>
      </c>
      <c r="AT352" s="24" t="n">
        <f aca="false">IF(OR(AND(AR352*AS352&gt;0), AND(AR352&lt;0,AS352&gt;0)), MOD(ATAN2(AS352,AR352)/$A$10+360,360),  ATAN2(AS352,AR352)/$A$10)</f>
        <v>274.16874525696</v>
      </c>
      <c r="AU352" s="39" t="n">
        <f aca="false"> 385000.56 + (-20905355*COS(P352) - 3699111*COS(2*R352-P352) - 2955968*COS(2*R352) - 569925*COS(2*P352) + (1-0.002516*L352)*48888*COS(Q352) - 3149*COS(2*S352)  +246158*COS(2*R352-2*P352) -(1 - 0.002516*L352)*152138*COS(2*R352-Q352-P352) -170733*COS(2*R352+P352) -(1 - 0.002516*L352)*204586*COS(2*R352-Q352) -(1 - 0.002516*L352)*129620*COS(Q352-P352)  + 108743*COS(R352) +(1-0.002516*L352)*104755*COS(Q352+P352) +10321*COS(2*R352-2*S352) +79661*COS(P352-2*S352) -34782*COS(4*R352-P352) -23210*COS(3*P352)  -21636*COS(4*R352-2*P352) +(1 - 0.002516*L352)*24208*COS(2*R352+Q352-P352) +(1 - 0.002516*L352)*30824*COS(2*R352+Q352) -8379*COS(R352-P352) -(1 - 0.002516*L352)*16675*COS(R352+Q352)  -(1 - 0.002516*L352)*12831*COS(2*R352-Q352+P352) -10445*COS(2*R352+2*P352) -11650*COS(4*R352) +14403*COS(2*R352-3*P352) -(1-0.002516*L352)*7003*COS(Q352-2*P352)  + (1 - 0.002516*L352)*10056*COS(2*R352-Q352-2*P352) +6322*COS(R352+P352) -(1 - 0.002516*L352)*(1-0.002516*L352)*9884*COS(2*R352-2*Q352) +(1-0.002516*L352)*5751*COS(Q352+2*P352) - (1-0.002516*L352)^2*4950*COS(2*R352-2*Q352-P352)  +4130*COS(2*R352+P352-2*S352) -(1-0.002516*L352)*3958*COS(4*R352-Q352-P352) +3258*COS(3*R352-P352) +(1 - 0.002516*L352)*2616*COS(2*R352+Q352+P352) -(1 - 0.002516*L352)*1897*COS(4*R352-Q352-2*P352)  -(1-0.002516*L352)^2*2117*COS(2*Q352-P352) +(1-0.002516*L352)^2*2354*COS(2*R352+2*Q352-P352) -1423*COS(4*R352+P352) -1117*COS(4*P352) -(1-0.002516*L352)*1571*COS(4*R352-Q352)  -1739*COS(R352-2*P352) -4421*COS(2*P352-2*S352) +(1-0.002516*L352)^2*1165*COS(2*Q352+P352) +8752*COS(2*R352-P352-2*S352))/1000</f>
        <v>392293.043006218</v>
      </c>
      <c r="AV352" s="54" t="n">
        <f aca="false">ATAN(0.99664719*TAN($A$10*input!$E$2))</f>
        <v>0.871010436227447</v>
      </c>
      <c r="AW352" s="54" t="n">
        <f aca="false">COS(AV352)</f>
        <v>0.644053912545845</v>
      </c>
      <c r="AX352" s="54" t="n">
        <f aca="false">0.99664719*SIN(AV352)</f>
        <v>0.762415269897027</v>
      </c>
      <c r="AY352" s="54" t="n">
        <f aca="false">6378.14/AU352</f>
        <v>0.0162586110401629</v>
      </c>
      <c r="AZ352" s="55" t="n">
        <f aca="false">M352-15*AH352</f>
        <v>-82.717326649136</v>
      </c>
      <c r="BA352" s="56" t="n">
        <f aca="false">COS($A$10*AG352)*SIN($A$10*AZ352)</f>
        <v>-0.991194870119853</v>
      </c>
      <c r="BB352" s="56" t="n">
        <f aca="false">COS($A$10*AG352)*COS($A$10*AZ352)-AW352*AY352</f>
        <v>0.116198917783942</v>
      </c>
      <c r="BC352" s="56" t="n">
        <f aca="false">SIN($A$10*AG352)-AX352*AY352</f>
        <v>0.026170421307625</v>
      </c>
      <c r="BD352" s="57" t="n">
        <f aca="false">SQRT(BA352^2+BB352^2+BC352^2)</f>
        <v>0.998325773481527</v>
      </c>
      <c r="BE352" s="58" t="n">
        <f aca="false">AU352*BD352</f>
        <v>391636.255590604</v>
      </c>
    </row>
    <row r="353" customFormat="false" ht="15" hidden="false" customHeight="false" outlineLevel="0" collapsed="false">
      <c r="D353" s="41" t="n">
        <f aca="false">K353-INT(275*E353/9)+IF($A$8="common year",2,1)*INT((E353+9)/12)+30</f>
        <v>18</v>
      </c>
      <c r="E353" s="41" t="n">
        <f aca="false">IF(K353&lt;32,1,INT(9*(IF($A$8="common year",2,1)+K353)/275+0.98))</f>
        <v>12</v>
      </c>
      <c r="F353" s="42" t="n">
        <f aca="false">AM353</f>
        <v>-5.69474619233594</v>
      </c>
      <c r="G353" s="60" t="n">
        <f aca="false">F353+1.02/(TAN($A$10*(F353+10.3/(F353+5.11)))*60)</f>
        <v>-5.73420226091057</v>
      </c>
      <c r="H353" s="43" t="n">
        <f aca="false">100*(1+COS($A$10*AQ353))/2</f>
        <v>33.971491638848</v>
      </c>
      <c r="I353" s="43" t="n">
        <f aca="false">IF(AI353&gt;180,AT353-180,AT353+180)</f>
        <v>90.0192629885575</v>
      </c>
      <c r="J353" s="61" t="n">
        <f aca="false">$J$2+K352</f>
        <v>2459931.5</v>
      </c>
      <c r="K353" s="21" t="n">
        <v>352</v>
      </c>
      <c r="L353" s="62" t="n">
        <f aca="false">(J353-2451545)/36525</f>
        <v>0.229609856262834</v>
      </c>
      <c r="M353" s="63" t="n">
        <f aca="false">MOD(280.46061837+360.98564736629*(J353-2451545)+0.000387933*L353^2-L353^3/38710000+$B$7,360)</f>
        <v>101.592276212759</v>
      </c>
      <c r="N353" s="30" t="n">
        <f aca="false">0.606433+1336.855225*L353 - INT(0.606433+1336.855225*L353)</f>
        <v>0.561569056468159</v>
      </c>
      <c r="O353" s="35" t="n">
        <f aca="false">22640*SIN(P353)-4586*SIN(P353-2*R353)+2370*SIN(2*R353)+769*SIN(2*P353)-668*SIN(Q353)-412*SIN(2*S353)-212*SIN(2*P353-2*R353)-206*SIN(P353+Q353-2*R353)+192*SIN(P353+2*R353)-165*SIN(Q353-2*R353)-125*SIN(R353)-110*SIN(P353+Q353)+148*SIN(P353-Q353)-55*SIN(2*S353-2*R353)</f>
        <v>-26192.3794727486</v>
      </c>
      <c r="P353" s="32" t="n">
        <f aca="false">2*PI()*(0.374897+1325.55241*L353 - INT(0.374897+1325.55241*L353))</f>
        <v>4.61685521466024</v>
      </c>
      <c r="Q353" s="36" t="n">
        <f aca="false">2*PI()*(0.993133+99.997361*L353 - INT(0.993133+99.997361*L353))</f>
        <v>5.99109689808462</v>
      </c>
      <c r="R353" s="36" t="n">
        <f aca="false">2*PI()*(0.827361+1236.853086*L353 - INT(0.827361+1236.853086*L353))</f>
        <v>5.1586226525697</v>
      </c>
      <c r="S353" s="36" t="n">
        <f aca="false">2*PI()*(0.259086+1342.227825*L353 - INT(0.259086+1342.227825*L353))</f>
        <v>2.81376098992619</v>
      </c>
      <c r="T353" s="36" t="n">
        <f aca="false">S353+(O353+412*SIN(2*S353)+541*SIN(Q353))/206264.8062</f>
        <v>2.6848036912177</v>
      </c>
      <c r="U353" s="36" t="n">
        <f aca="false">S353-2*R353</f>
        <v>-7.50348431521322</v>
      </c>
      <c r="V353" s="34" t="n">
        <f aca="false">-526*SIN(U353)+44*SIN(P353+U353)-31*SIN(-P353+U353)-23*SIN(Q353+U353)+11*SIN(-Q353+U353)-25*SIN(-2*P353+S353)+21*SIN(-P353+S353)</f>
        <v>466.677258664753</v>
      </c>
      <c r="W353" s="36" t="n">
        <f aca="false">2*PI()*(N353+O353/1296000-INT(N353+O353/1296000))</f>
        <v>3.40145820547543</v>
      </c>
      <c r="X353" s="35" t="n">
        <f aca="false">W353*180/PI()</f>
        <v>194.889199363885</v>
      </c>
      <c r="Y353" s="36" t="n">
        <f aca="false">(18520*SIN(T353)+V353)/206264.8062</f>
        <v>0.0418649562170791</v>
      </c>
      <c r="Z353" s="36" t="n">
        <f aca="false">Y353*180/PI()</f>
        <v>2.39868530073861</v>
      </c>
      <c r="AA353" s="36" t="n">
        <f aca="false">COS(Y353)*COS(W353)</f>
        <v>-0.965577743238813</v>
      </c>
      <c r="AB353" s="36" t="n">
        <f aca="false">COS(Y353)*SIN(W353)</f>
        <v>-0.256725477737526</v>
      </c>
      <c r="AC353" s="36" t="n">
        <f aca="false">SIN(Y353)</f>
        <v>0.041852728014785</v>
      </c>
      <c r="AD353" s="36" t="n">
        <f aca="false">COS($A$10*(23.4393-46.815*L353/3600))*AB353-SIN($A$10*(23.4393-46.815*L353/3600))*AC353</f>
        <v>-0.252192390286615</v>
      </c>
      <c r="AE353" s="36" t="n">
        <f aca="false">SIN($A$10*(23.4393-46.815*L353/3600))*AB353+COS($A$10*(23.4393-46.815*L353/3600))*AC353</f>
        <v>-0.0637072997651322</v>
      </c>
      <c r="AF353" s="36" t="n">
        <f aca="false">SQRT(1-AE353*AE353)</f>
        <v>0.997968626739656</v>
      </c>
      <c r="AG353" s="35" t="n">
        <f aca="false">ATAN(AE353/AF353)/$A$10</f>
        <v>-3.65263302284104</v>
      </c>
      <c r="AH353" s="36" t="n">
        <f aca="false">IF(24*ATAN(AD353/(AA353+AF353))/PI()&gt;0,24*ATAN(AD353/(AA353+AF353))/PI(),24*ATAN(AD353/(AA353+AF353))/PI()+24)</f>
        <v>12.975845419956</v>
      </c>
      <c r="AI353" s="63" t="n">
        <f aca="false">IF(M353-15*AH353&gt;0,M353-15*AH353,360+M353-15*AH353)</f>
        <v>266.95459491342</v>
      </c>
      <c r="AJ353" s="32" t="n">
        <f aca="false">0.950724+0.051818*COS(P353)+0.009531*COS(2*R353-P353)+0.007843*COS(2*R353)+0.002824*COS(2*P353)+0.000857*COS(2*R353+P353)+0.000533*COS(2*R353-Q353)*(1-0.002495*(J353-2415020)/36525)+0.000401*COS(2*R353-Q353-P353)*(1-0.002495*(J353-2415020)/36525)+0.00032*COS(P353-Q353)*(1-0.002495*(J353-2415020)/36525)-0.000271*COS(R353)</f>
        <v>0.945560048969933</v>
      </c>
      <c r="AK353" s="36" t="n">
        <f aca="false">ASIN(COS($A$10*$B$5)*COS($A$10*AG353)*COS($A$10*AI353)+SIN($A$10*$B$5)*SIN($A$10*AG353))/$A$10</f>
        <v>-4.75429068680627</v>
      </c>
      <c r="AL353" s="32" t="n">
        <f aca="false">ASIN((0.9983271+0.0016764*COS($A$10*2*$B$5))*COS($A$10*AK353)*SIN($A$10*AJ353))/$A$10</f>
        <v>0.94045550552967</v>
      </c>
      <c r="AM353" s="32" t="n">
        <f aca="false">AK353-AL353</f>
        <v>-5.69474619233594</v>
      </c>
      <c r="AN353" s="35" t="n">
        <f aca="false"> MOD(280.4664567 + 360007.6982779*L353/10 + 0.03032028*L353^2/100 + L353^3/49931000,360)</f>
        <v>266.598058195521</v>
      </c>
      <c r="AO353" s="32" t="n">
        <f aca="false"> AN353 + (1.9146 - 0.004817*L353 - 0.000014*L353^2)*SIN(Q353)+ (0.019993 - 0.000101*L353)*SIN(2*Q353)+ 0.00029*SIN(3*Q353)</f>
        <v>266.035826021581</v>
      </c>
      <c r="AP353" s="32" t="n">
        <f aca="false">ACOS(COS(W353-$A$10*AO353)*COS(Y353))/$A$10</f>
        <v>71.1637685123249</v>
      </c>
      <c r="AQ353" s="34" t="n">
        <f aca="false">180 - AP353 -0.1468*(1-0.0549*SIN(Q353))*SIN($A$10*AP353)/(1-0.0167*SIN($A$10*AO353))</f>
        <v>108.697409678475</v>
      </c>
      <c r="AR353" s="64" t="n">
        <f aca="false">SIN($A$10*AI353)</f>
        <v>-0.998587746602218</v>
      </c>
      <c r="AS353" s="64" t="n">
        <f aca="false">COS($A$10*AI353)*SIN($A$10*$B$5) - TAN($A$10*AG353)*COS($A$10*$B$5)</f>
        <v>0.00033572778352365</v>
      </c>
      <c r="AT353" s="24" t="n">
        <f aca="false">IF(OR(AND(AR353*AS353&gt;0), AND(AR353&lt;0,AS353&gt;0)), MOD(ATAN2(AS353,AR353)/$A$10+360,360),  ATAN2(AS353,AR353)/$A$10)</f>
        <v>270.019262988558</v>
      </c>
      <c r="AU353" s="39" t="n">
        <f aca="false"> 385000.56 + (-20905355*COS(P353) - 3699111*COS(2*R353-P353) - 2955968*COS(2*R353) - 569925*COS(2*P353) + (1-0.002516*L353)*48888*COS(Q353) - 3149*COS(2*S353)  +246158*COS(2*R353-2*P353) -(1 - 0.002516*L353)*152138*COS(2*R353-Q353-P353) -170733*COS(2*R353+P353) -(1 - 0.002516*L353)*204586*COS(2*R353-Q353) -(1 - 0.002516*L353)*129620*COS(Q353-P353)  + 108743*COS(R353) +(1-0.002516*L353)*104755*COS(Q353+P353) +10321*COS(2*R353-2*S353) +79661*COS(P353-2*S353) -34782*COS(4*R353-P353) -23210*COS(3*P353)  -21636*COS(4*R353-2*P353) +(1 - 0.002516*L353)*24208*COS(2*R353+Q353-P353) +(1 - 0.002516*L353)*30824*COS(2*R353+Q353) -8379*COS(R353-P353) -(1 - 0.002516*L353)*16675*COS(R353+Q353)  -(1 - 0.002516*L353)*12831*COS(2*R353-Q353+P353) -10445*COS(2*R353+2*P353) -11650*COS(4*R353) +14403*COS(2*R353-3*P353) -(1-0.002516*L353)*7003*COS(Q353-2*P353)  + (1 - 0.002516*L353)*10056*COS(2*R353-Q353-2*P353) +6322*COS(R353+P353) -(1 - 0.002516*L353)*(1-0.002516*L353)*9884*COS(2*R353-2*Q353) +(1-0.002516*L353)*5751*COS(Q353+2*P353) - (1-0.002516*L353)^2*4950*COS(2*R353-2*Q353-P353)  +4130*COS(2*R353+P353-2*S353) -(1-0.002516*L353)*3958*COS(4*R353-Q353-P353) +3258*COS(3*R353-P353) +(1 - 0.002516*L353)*2616*COS(2*R353+Q353+P353) -(1 - 0.002516*L353)*1897*COS(4*R353-Q353-2*P353)  -(1-0.002516*L353)^2*2117*COS(2*Q353-P353) +(1-0.002516*L353)^2*2354*COS(2*R353+2*Q353-P353) -1423*COS(4*R353+P353) -1117*COS(4*P353) -(1-0.002516*L353)*1571*COS(4*R353-Q353)  -1739*COS(R353-2*P353) -4421*COS(2*P353-2*S353) +(1-0.002516*L353)^2*1165*COS(2*Q353+P353) +8752*COS(2*R353-P353-2*S353))/1000</f>
        <v>386550.034043541</v>
      </c>
      <c r="AV353" s="54" t="n">
        <f aca="false">ATAN(0.99664719*TAN($A$10*input!$E$2))</f>
        <v>0.871010436227447</v>
      </c>
      <c r="AW353" s="54" t="n">
        <f aca="false">COS(AV353)</f>
        <v>0.644053912545845</v>
      </c>
      <c r="AX353" s="54" t="n">
        <f aca="false">0.99664719*SIN(AV353)</f>
        <v>0.762415269897027</v>
      </c>
      <c r="AY353" s="54" t="n">
        <f aca="false">6378.14/AU353</f>
        <v>0.0165001667010112</v>
      </c>
      <c r="AZ353" s="55" t="n">
        <f aca="false">M353-15*AH353</f>
        <v>-93.04540508658</v>
      </c>
      <c r="BA353" s="56" t="n">
        <f aca="false">COS($A$10*AG353)*SIN($A$10*AZ353)</f>
        <v>-0.996559242155664</v>
      </c>
      <c r="BB353" s="56" t="n">
        <f aca="false">COS($A$10*AG353)*COS($A$10*AZ353)-AW353*AY353</f>
        <v>-0.063646397434509</v>
      </c>
      <c r="BC353" s="56" t="n">
        <f aca="false">SIN($A$10*AG353)-AX353*AY353</f>
        <v>-0.0762872788138296</v>
      </c>
      <c r="BD353" s="57" t="n">
        <f aca="false">SQRT(BA353^2+BB353^2+BC353^2)</f>
        <v>1.00149934395439</v>
      </c>
      <c r="BE353" s="58" t="n">
        <f aca="false">AU353*BD353</f>
        <v>387129.605500155</v>
      </c>
    </row>
    <row r="354" customFormat="false" ht="15" hidden="false" customHeight="false" outlineLevel="0" collapsed="false">
      <c r="D354" s="41" t="n">
        <f aca="false">K354-INT(275*E354/9)+IF($A$8="common year",2,1)*INT((E354+9)/12)+30</f>
        <v>19</v>
      </c>
      <c r="E354" s="41" t="n">
        <f aca="false">IF(K354&lt;32,1,INT(9*(IF($A$8="common year",2,1)+K354)/275+0.98))</f>
        <v>12</v>
      </c>
      <c r="F354" s="42" t="n">
        <f aca="false">AM354</f>
        <v>-17.1595182253305</v>
      </c>
      <c r="G354" s="60" t="n">
        <f aca="false">F354+1.02/(TAN($A$10*(F354+10.3/(F354+5.11)))*60)</f>
        <v>-17.2117943723543</v>
      </c>
      <c r="H354" s="43" t="n">
        <f aca="false">100*(1+COS($A$10*AQ354))/2</f>
        <v>24.3754885805456</v>
      </c>
      <c r="I354" s="43" t="n">
        <f aca="false">IF(AI354&gt;180,AT354-180,AT354+180)</f>
        <v>85.5268606077666</v>
      </c>
      <c r="J354" s="61" t="n">
        <f aca="false">$J$2+K353</f>
        <v>2459932.5</v>
      </c>
      <c r="K354" s="21" t="n">
        <v>353</v>
      </c>
      <c r="L354" s="62" t="n">
        <f aca="false">(J354-2451545)/36525</f>
        <v>0.229637234770705</v>
      </c>
      <c r="M354" s="63" t="n">
        <f aca="false">MOD(280.46061837+360.98564736629*(J354-2451545)+0.000387933*L354^2-L354^3/38710000+$B$7,360)</f>
        <v>102.577923583798</v>
      </c>
      <c r="N354" s="30" t="n">
        <f aca="false">0.606433+1336.855225*L354 - INT(0.606433+1336.855225*L354)</f>
        <v>0.598170157768664</v>
      </c>
      <c r="O354" s="35" t="n">
        <f aca="false">22640*SIN(P354)-4586*SIN(P354-2*R354)+2370*SIN(2*R354)+769*SIN(2*P354)-668*SIN(Q354)-412*SIN(2*S354)-212*SIN(2*P354-2*R354)-206*SIN(P354+Q354-2*R354)+192*SIN(P354+2*R354)-165*SIN(Q354-2*R354)-125*SIN(R354)-110*SIN(P354+Q354)+148*SIN(P354-Q354)-55*SIN(2*S354-2*R354)</f>
        <v>-26363.9610147546</v>
      </c>
      <c r="P354" s="32" t="n">
        <f aca="false">2*PI()*(0.374897+1325.55241*L354 - INT(0.374897+1325.55241*L354))</f>
        <v>4.8448823584357</v>
      </c>
      <c r="Q354" s="36" t="n">
        <f aca="false">2*PI()*(0.993133+99.997361*L354 - INT(0.993133+99.997361*L354))</f>
        <v>6.00829886795163</v>
      </c>
      <c r="R354" s="36" t="n">
        <f aca="false">2*PI()*(0.827361+1236.853086*L354 - INT(0.827361+1236.853086*L354))</f>
        <v>5.37139136268837</v>
      </c>
      <c r="S354" s="36" t="n">
        <f aca="false">2*PI()*(0.259086+1342.227825*L354 - INT(0.259086+1342.227825*L354))</f>
        <v>3.04465670926719</v>
      </c>
      <c r="T354" s="36" t="n">
        <f aca="false">S354+(O354+412*SIN(2*S354)+541*SIN(Q354))/206264.8062</f>
        <v>2.91574385662318</v>
      </c>
      <c r="U354" s="36" t="n">
        <f aca="false">S354-2*R354</f>
        <v>-7.69812601610955</v>
      </c>
      <c r="V354" s="34" t="n">
        <f aca="false">-526*SIN(U354)+44*SIN(P354+U354)-31*SIN(-P354+U354)-23*SIN(Q354+U354)+11*SIN(-Q354+U354)-25*SIN(-2*P354+S354)+21*SIN(-P354+S354)</f>
        <v>507.632103268059</v>
      </c>
      <c r="W354" s="36" t="n">
        <f aca="false">2*PI()*(N354+O354/1296000-INT(N354+O354/1296000))</f>
        <v>3.63059785660345</v>
      </c>
      <c r="X354" s="35" t="n">
        <f aca="false">W354*180/PI()</f>
        <v>208.01793429262</v>
      </c>
      <c r="Y354" s="36" t="n">
        <f aca="false">(18520*SIN(T354)+V354)/206264.8062</f>
        <v>0.0225675141371631</v>
      </c>
      <c r="Z354" s="36" t="n">
        <f aca="false">Y354*180/PI()</f>
        <v>1.29302331416126</v>
      </c>
      <c r="AA354" s="36" t="n">
        <f aca="false">COS(Y354)*COS(W354)</f>
        <v>-0.882575806753424</v>
      </c>
      <c r="AB354" s="36" t="n">
        <f aca="false">COS(Y354)*SIN(W354)</f>
        <v>-0.469628298863074</v>
      </c>
      <c r="AC354" s="36" t="n">
        <f aca="false">SIN(Y354)</f>
        <v>0.0225655986075954</v>
      </c>
      <c r="AD354" s="36" t="n">
        <f aca="false">COS($A$10*(23.4393-46.815*L354/3600))*AB354-SIN($A$10*(23.4393-46.815*L354/3600))*AC354</f>
        <v>-0.439860250609816</v>
      </c>
      <c r="AE354" s="36" t="n">
        <f aca="false">SIN($A$10*(23.4393-46.815*L354/3600))*AB354+COS($A$10*(23.4393-46.815*L354/3600))*AC354</f>
        <v>-0.166081020188985</v>
      </c>
      <c r="AF354" s="36" t="n">
        <f aca="false">SQRT(1-AE354*AE354)</f>
        <v>0.986112110630929</v>
      </c>
      <c r="AG354" s="35" t="n">
        <f aca="false">ATAN(AE354/AF354)/$A$10</f>
        <v>-9.56003887929608</v>
      </c>
      <c r="AH354" s="36" t="n">
        <f aca="false">IF(24*ATAN(AD354/(AA354+AF354))/PI()&gt;0,24*ATAN(AD354/(AA354+AF354))/PI(),24*ATAN(AD354/(AA354+AF354))/PI()+24)</f>
        <v>13.766057199118</v>
      </c>
      <c r="AI354" s="63" t="n">
        <f aca="false">IF(M354-15*AH354&gt;0,M354-15*AH354,360+M354-15*AH354)</f>
        <v>256.087065597028</v>
      </c>
      <c r="AJ354" s="32" t="n">
        <f aca="false">0.950724+0.051818*COS(P354)+0.009531*COS(2*R354-P354)+0.007843*COS(2*R354)+0.002824*COS(2*P354)+0.000857*COS(2*R354+P354)+0.000533*COS(2*R354-Q354)*(1-0.002495*(J354-2415020)/36525)+0.000401*COS(2*R354-Q354-P354)*(1-0.002495*(J354-2415020)/36525)+0.00032*COS(P354-Q354)*(1-0.002495*(J354-2415020)/36525)-0.000271*COS(R354)</f>
        <v>0.961233466720574</v>
      </c>
      <c r="AK354" s="36" t="n">
        <f aca="false">ASIN(COS($A$10*$B$5)*COS($A$10*AG354)*COS($A$10*AI354)+SIN($A$10*$B$5)*SIN($A$10*AG354))/$A$10</f>
        <v>-16.238448049909</v>
      </c>
      <c r="AL354" s="32" t="n">
        <f aca="false">ASIN((0.9983271+0.0016764*COS($A$10*2*$B$5))*COS($A$10*AK354)*SIN($A$10*AJ354))/$A$10</f>
        <v>0.921070175421529</v>
      </c>
      <c r="AM354" s="32" t="n">
        <f aca="false">AK354-AL354</f>
        <v>-17.1595182253305</v>
      </c>
      <c r="AN354" s="35" t="n">
        <f aca="false"> MOD(280.4664567 + 360007.6982779*L354/10 + 0.03032028*L354^2/100 + L354^3/49931000,360)</f>
        <v>267.583705559438</v>
      </c>
      <c r="AO354" s="32" t="n">
        <f aca="false"> AN354 + (1.9146 - 0.004817*L354 - 0.000014*L354^2)*SIN(Q354)+ (0.019993 - 0.000101*L354)*SIN(2*Q354)+ 0.00029*SIN(3*Q354)</f>
        <v>267.053664457912</v>
      </c>
      <c r="AP354" s="32" t="n">
        <f aca="false">ACOS(COS(W354-$A$10*AO354)*COS(Y354))/$A$10</f>
        <v>59.044483666926</v>
      </c>
      <c r="AQ354" s="34" t="n">
        <f aca="false">180 - AP354 -0.1468*(1-0.0549*SIN(Q354))*SIN($A$10*AP354)/(1-0.0167*SIN($A$10*AO354))</f>
        <v>120.829845424693</v>
      </c>
      <c r="AR354" s="64" t="n">
        <f aca="false">SIN($A$10*AI354)</f>
        <v>-0.970662225863179</v>
      </c>
      <c r="AS354" s="64" t="n">
        <f aca="false">COS($A$10*AI354)*SIN($A$10*$B$5) - TAN($A$10*AG354)*COS($A$10*$B$5)</f>
        <v>-0.0759349198909686</v>
      </c>
      <c r="AT354" s="24" t="n">
        <f aca="false">IF(OR(AND(AR354*AS354&gt;0), AND(AR354&lt;0,AS354&gt;0)), MOD(ATAN2(AS354,AR354)/$A$10+360,360),  ATAN2(AS354,AR354)/$A$10)</f>
        <v>265.526860607767</v>
      </c>
      <c r="AU354" s="39" t="n">
        <f aca="false"> 385000.56 + (-20905355*COS(P354) - 3699111*COS(2*R354-P354) - 2955968*COS(2*R354) - 569925*COS(2*P354) + (1-0.002516*L354)*48888*COS(Q354) - 3149*COS(2*S354)  +246158*COS(2*R354-2*P354) -(1 - 0.002516*L354)*152138*COS(2*R354-Q354-P354) -170733*COS(2*R354+P354) -(1 - 0.002516*L354)*204586*COS(2*R354-Q354) -(1 - 0.002516*L354)*129620*COS(Q354-P354)  + 108743*COS(R354) +(1-0.002516*L354)*104755*COS(Q354+P354) +10321*COS(2*R354-2*S354) +79661*COS(P354-2*S354) -34782*COS(4*R354-P354) -23210*COS(3*P354)  -21636*COS(4*R354-2*P354) +(1 - 0.002516*L354)*24208*COS(2*R354+Q354-P354) +(1 - 0.002516*L354)*30824*COS(2*R354+Q354) -8379*COS(R354-P354) -(1 - 0.002516*L354)*16675*COS(R354+Q354)  -(1 - 0.002516*L354)*12831*COS(2*R354-Q354+P354) -10445*COS(2*R354+2*P354) -11650*COS(4*R354) +14403*COS(2*R354-3*P354) -(1-0.002516*L354)*7003*COS(Q354-2*P354)  + (1 - 0.002516*L354)*10056*COS(2*R354-Q354-2*P354) +6322*COS(R354+P354) -(1 - 0.002516*L354)*(1-0.002516*L354)*9884*COS(2*R354-2*Q354) +(1-0.002516*L354)*5751*COS(Q354+2*P354) - (1-0.002516*L354)^2*4950*COS(2*R354-2*Q354-P354)  +4130*COS(2*R354+P354-2*S354) -(1-0.002516*L354)*3958*COS(4*R354-Q354-P354) +3258*COS(3*R354-P354) +(1 - 0.002516*L354)*2616*COS(2*R354+Q354+P354) -(1 - 0.002516*L354)*1897*COS(4*R354-Q354-2*P354)  -(1-0.002516*L354)^2*2117*COS(2*Q354-P354) +(1-0.002516*L354)^2*2354*COS(2*R354+2*Q354-P354) -1423*COS(4*R354+P354) -1117*COS(4*P354) -(1-0.002516*L354)*1571*COS(4*R354-Q354)  -1739*COS(R354-2*P354) -4421*COS(2*P354-2*S354) +(1-0.002516*L354)^2*1165*COS(2*Q354+P354) +8752*COS(2*R354-P354-2*S354))/1000</f>
        <v>380318.432734099</v>
      </c>
      <c r="AV354" s="54" t="n">
        <f aca="false">ATAN(0.99664719*TAN($A$10*input!$E$2))</f>
        <v>0.871010436227447</v>
      </c>
      <c r="AW354" s="54" t="n">
        <f aca="false">COS(AV354)</f>
        <v>0.644053912545845</v>
      </c>
      <c r="AX354" s="54" t="n">
        <f aca="false">0.99664719*SIN(AV354)</f>
        <v>0.762415269897027</v>
      </c>
      <c r="AY354" s="54" t="n">
        <f aca="false">6378.14/AU354</f>
        <v>0.0167705255676085</v>
      </c>
      <c r="AZ354" s="55" t="n">
        <f aca="false">M354-15*AH354</f>
        <v>-103.912934402972</v>
      </c>
      <c r="BA354" s="56" t="n">
        <f aca="false">COS($A$10*AG354)*SIN($A$10*AZ354)</f>
        <v>-0.957181776255655</v>
      </c>
      <c r="BB354" s="56" t="n">
        <f aca="false">COS($A$10*AG354)*COS($A$10*AZ354)-AW354*AY354</f>
        <v>-0.247908992440929</v>
      </c>
      <c r="BC354" s="56" t="n">
        <f aca="false">SIN($A$10*AG354)-AX354*AY354</f>
        <v>-0.178867124965928</v>
      </c>
      <c r="BD354" s="57" t="n">
        <f aca="false">SQRT(BA354^2+BB354^2+BC354^2)</f>
        <v>1.00481305212591</v>
      </c>
      <c r="BE354" s="58" t="n">
        <f aca="false">AU354*BD354</f>
        <v>382148.925175292</v>
      </c>
    </row>
    <row r="355" customFormat="false" ht="15" hidden="false" customHeight="false" outlineLevel="0" collapsed="false">
      <c r="D355" s="41" t="n">
        <f aca="false">K355-INT(275*E355/9)+IF($A$8="common year",2,1)*INT((E355+9)/12)+30</f>
        <v>20</v>
      </c>
      <c r="E355" s="41" t="n">
        <f aca="false">IF(K355&lt;32,1,INT(9*(IF($A$8="common year",2,1)+K355)/275+0.98))</f>
        <v>12</v>
      </c>
      <c r="F355" s="42" t="n">
        <f aca="false">AM355</f>
        <v>-28.8779560754712</v>
      </c>
      <c r="G355" s="60" t="n">
        <f aca="false">F355+1.02/(TAN($A$10*(F355+10.3/(F355+5.11)))*60)</f>
        <v>-28.9082357090878</v>
      </c>
      <c r="H355" s="43" t="n">
        <f aca="false">100*(1+COS($A$10*AQ355))/2</f>
        <v>15.6238470479463</v>
      </c>
      <c r="I355" s="43" t="n">
        <f aca="false">IF(AI355&gt;180,AT355-180,AT355+180)</f>
        <v>80.161505794494</v>
      </c>
      <c r="J355" s="61" t="n">
        <f aca="false">$J$2+K354</f>
        <v>2459933.5</v>
      </c>
      <c r="K355" s="21" t="n">
        <v>354</v>
      </c>
      <c r="L355" s="62" t="n">
        <f aca="false">(J355-2451545)/36525</f>
        <v>0.229664613278576</v>
      </c>
      <c r="M355" s="63" t="n">
        <f aca="false">MOD(280.46061837+360.98564736629*(J355-2451545)+0.000387933*L355^2-L355^3/38710000+$B$7,360)</f>
        <v>103.563570954837</v>
      </c>
      <c r="N355" s="30" t="n">
        <f aca="false">0.606433+1336.855225*L355 - INT(0.606433+1336.855225*L355)</f>
        <v>0.634771259069112</v>
      </c>
      <c r="O355" s="35" t="n">
        <f aca="false">22640*SIN(P355)-4586*SIN(P355-2*R355)+2370*SIN(2*R355)+769*SIN(2*P355)-668*SIN(Q355)-412*SIN(2*S355)-212*SIN(2*P355-2*R355)-206*SIN(P355+Q355-2*R355)+192*SIN(P355+2*R355)-165*SIN(Q355-2*R355)-125*SIN(R355)-110*SIN(P355+Q355)+148*SIN(P355-Q355)-55*SIN(2*S355-2*R355)</f>
        <v>-24859.6053939235</v>
      </c>
      <c r="P355" s="32" t="n">
        <f aca="false">2*PI()*(0.374897+1325.55241*L355 - INT(0.374897+1325.55241*L355))</f>
        <v>5.07290950221152</v>
      </c>
      <c r="Q355" s="36" t="n">
        <f aca="false">2*PI()*(0.993133+99.997361*L355 - INT(0.993133+99.997361*L355))</f>
        <v>6.02550083781861</v>
      </c>
      <c r="R355" s="36" t="n">
        <f aca="false">2*PI()*(0.827361+1236.853086*L355 - INT(0.827361+1236.853086*L355))</f>
        <v>5.5841600728074</v>
      </c>
      <c r="S355" s="36" t="n">
        <f aca="false">2*PI()*(0.259086+1342.227825*L355 - INT(0.259086+1342.227825*L355))</f>
        <v>3.27555242860784</v>
      </c>
      <c r="T355" s="36" t="n">
        <f aca="false">S355+(O355+412*SIN(2*S355)+541*SIN(Q355))/206264.8062</f>
        <v>3.15489002168734</v>
      </c>
      <c r="U355" s="36" t="n">
        <f aca="false">S355-2*R355</f>
        <v>-7.89276771700695</v>
      </c>
      <c r="V355" s="34" t="n">
        <f aca="false">-526*SIN(U355)+44*SIN(P355+U355)-31*SIN(-P355+U355)-23*SIN(Q355+U355)+11*SIN(-Q355+U355)-25*SIN(-2*P355+S355)+21*SIN(-P355+S355)</f>
        <v>528.38729836166</v>
      </c>
      <c r="W355" s="36" t="n">
        <f aca="false">2*PI()*(N355+O355/1296000-INT(N355+O355/1296000))</f>
        <v>3.86786268038334</v>
      </c>
      <c r="X355" s="35" t="n">
        <f aca="false">W355*180/PI()</f>
        <v>221.612207322124</v>
      </c>
      <c r="Y355" s="36" t="n">
        <f aca="false">(18520*SIN(T355)+V355)/206264.8062</f>
        <v>0.00136779174220083</v>
      </c>
      <c r="Z355" s="36" t="n">
        <f aca="false">Y355*180/PI()</f>
        <v>0.0783686940809536</v>
      </c>
      <c r="AA355" s="36" t="n">
        <f aca="false">COS(Y355)*COS(W355)</f>
        <v>-0.747655919381717</v>
      </c>
      <c r="AB355" s="36" t="n">
        <f aca="false">COS(Y355)*SIN(W355)</f>
        <v>-0.664084900717067</v>
      </c>
      <c r="AC355" s="36" t="n">
        <f aca="false">SIN(Y355)</f>
        <v>0.00136779131571104</v>
      </c>
      <c r="AD355" s="36" t="n">
        <f aca="false">COS($A$10*(23.4393-46.815*L355/3600))*AB355-SIN($A$10*(23.4393-46.815*L355/3600))*AC355</f>
        <v>-0.609843722690147</v>
      </c>
      <c r="AE355" s="36" t="n">
        <f aca="false">SIN($A$10*(23.4393-46.815*L355/3600))*AB355+COS($A$10*(23.4393-46.815*L355/3600))*AC355</f>
        <v>-0.262871185391064</v>
      </c>
      <c r="AF355" s="36" t="n">
        <f aca="false">SQRT(1-AE355*AE355)</f>
        <v>0.964830938502231</v>
      </c>
      <c r="AG355" s="35" t="n">
        <f aca="false">ATAN(AE355/AF355)/$A$10</f>
        <v>-15.2404965761453</v>
      </c>
      <c r="AH355" s="36" t="n">
        <f aca="false">IF(24*ATAN(AD355/(AA355+AF355))/PI()&gt;0,24*ATAN(AD355/(AA355+AF355))/PI(),24*ATAN(AD355/(AA355+AF355))/PI()+24)</f>
        <v>14.6135494228267</v>
      </c>
      <c r="AI355" s="63" t="n">
        <f aca="false">IF(M355-15*AH355&gt;0,M355-15*AH355,360+M355-15*AH355)</f>
        <v>244.360329612436</v>
      </c>
      <c r="AJ355" s="32" t="n">
        <f aca="false">0.950724+0.051818*COS(P355)+0.009531*COS(2*R355-P355)+0.007843*COS(2*R355)+0.002824*COS(2*P355)+0.000857*COS(2*R355+P355)+0.000533*COS(2*R355-Q355)*(1-0.002495*(J355-2415020)/36525)+0.000401*COS(2*R355-Q355-P355)*(1-0.002495*(J355-2415020)/36525)+0.00032*COS(P355-Q355)*(1-0.002495*(J355-2415020)/36525)-0.000271*COS(R355)</f>
        <v>0.977453766752557</v>
      </c>
      <c r="AK355" s="36" t="n">
        <f aca="false">ASIN(COS($A$10*$B$5)*COS($A$10*AG355)*COS($A$10*AI355)+SIN($A$10*$B$5)*SIN($A$10*AG355))/$A$10</f>
        <v>-28.0167539425755</v>
      </c>
      <c r="AL355" s="32" t="n">
        <f aca="false">ASIN((0.9983271+0.0016764*COS($A$10*2*$B$5))*COS($A$10*AK355)*SIN($A$10*AJ355))/$A$10</f>
        <v>0.861202132895672</v>
      </c>
      <c r="AM355" s="32" t="n">
        <f aca="false">AK355-AL355</f>
        <v>-28.8779560754712</v>
      </c>
      <c r="AN355" s="35" t="n">
        <f aca="false"> MOD(280.4664567 + 360007.6982779*L355/10 + 0.03032028*L355^2/100 + L355^3/49931000,360)</f>
        <v>268.569352923354</v>
      </c>
      <c r="AO355" s="32" t="n">
        <f aca="false"> AN355 + (1.9146 - 0.004817*L355 - 0.000014*L355^2)*SIN(Q355)+ (0.019993 - 0.000101*L355)*SIN(2*Q355)+ 0.00029*SIN(3*Q355)</f>
        <v>268.071669494555</v>
      </c>
      <c r="AP355" s="32" t="n">
        <f aca="false">ACOS(COS(W355-$A$10*AO355)*COS(Y355))/$A$10</f>
        <v>46.4595131052486</v>
      </c>
      <c r="AQ355" s="34" t="n">
        <f aca="false">180 - AP355 -0.1468*(1-0.0549*SIN(Q355))*SIN($A$10*AP355)/(1-0.0167*SIN($A$10*AO355))</f>
        <v>133.434355938148</v>
      </c>
      <c r="AR355" s="64" t="n">
        <f aca="false">SIN($A$10*AI355)</f>
        <v>-0.901533143218761</v>
      </c>
      <c r="AS355" s="64" t="n">
        <f aca="false">COS($A$10*AI355)*SIN($A$10*$B$5) - TAN($A$10*AG355)*COS($A$10*$B$5)</f>
        <v>-0.156345652718259</v>
      </c>
      <c r="AT355" s="24" t="n">
        <f aca="false">IF(OR(AND(AR355*AS355&gt;0), AND(AR355&lt;0,AS355&gt;0)), MOD(ATAN2(AS355,AR355)/$A$10+360,360),  ATAN2(AS355,AR355)/$A$10)</f>
        <v>260.161505794494</v>
      </c>
      <c r="AU355" s="39" t="n">
        <f aca="false"> 385000.56 + (-20905355*COS(P355) - 3699111*COS(2*R355-P355) - 2955968*COS(2*R355) - 569925*COS(2*P355) + (1-0.002516*L355)*48888*COS(Q355) - 3149*COS(2*S355)  +246158*COS(2*R355-2*P355) -(1 - 0.002516*L355)*152138*COS(2*R355-Q355-P355) -170733*COS(2*R355+P355) -(1 - 0.002516*L355)*204586*COS(2*R355-Q355) -(1 - 0.002516*L355)*129620*COS(Q355-P355)  + 108743*COS(R355) +(1-0.002516*L355)*104755*COS(Q355+P355) +10321*COS(2*R355-2*S355) +79661*COS(P355-2*S355) -34782*COS(4*R355-P355) -23210*COS(3*P355)  -21636*COS(4*R355-2*P355) +(1 - 0.002516*L355)*24208*COS(2*R355+Q355-P355) +(1 - 0.002516*L355)*30824*COS(2*R355+Q355) -8379*COS(R355-P355) -(1 - 0.002516*L355)*16675*COS(R355+Q355)  -(1 - 0.002516*L355)*12831*COS(2*R355-Q355+P355) -10445*COS(2*R355+2*P355) -11650*COS(4*R355) +14403*COS(2*R355-3*P355) -(1-0.002516*L355)*7003*COS(Q355-2*P355)  + (1 - 0.002516*L355)*10056*COS(2*R355-Q355-2*P355) +6322*COS(R355+P355) -(1 - 0.002516*L355)*(1-0.002516*L355)*9884*COS(2*R355-2*Q355) +(1-0.002516*L355)*5751*COS(Q355+2*P355) - (1-0.002516*L355)^2*4950*COS(2*R355-2*Q355-P355)  +4130*COS(2*R355+P355-2*S355) -(1-0.002516*L355)*3958*COS(4*R355-Q355-P355) +3258*COS(3*R355-P355) +(1 - 0.002516*L355)*2616*COS(2*R355+Q355+P355) -(1 - 0.002516*L355)*1897*COS(4*R355-Q355-2*P355)  -(1-0.002516*L355)^2*2117*COS(2*Q355-P355) +(1-0.002516*L355)^2*2354*COS(2*R355+2*Q355-P355) -1423*COS(4*R355+P355) -1117*COS(4*P355) -(1-0.002516*L355)*1571*COS(4*R355-Q355)  -1739*COS(R355-2*P355) -4421*COS(2*P355-2*S355) +(1-0.002516*L355)^2*1165*COS(2*Q355+P355) +8752*COS(2*R355-P355-2*S355))/1000</f>
        <v>374037.628451314</v>
      </c>
      <c r="AV355" s="54" t="n">
        <f aca="false">ATAN(0.99664719*TAN($A$10*input!$E$2))</f>
        <v>0.871010436227447</v>
      </c>
      <c r="AW355" s="54" t="n">
        <f aca="false">COS(AV355)</f>
        <v>0.644053912545845</v>
      </c>
      <c r="AX355" s="54" t="n">
        <f aca="false">0.99664719*SIN(AV355)</f>
        <v>0.762415269897027</v>
      </c>
      <c r="AY355" s="54" t="n">
        <f aca="false">6378.14/AU355</f>
        <v>0.0170521346379197</v>
      </c>
      <c r="AZ355" s="55" t="n">
        <f aca="false">M355-15*AH355</f>
        <v>-115.639670387564</v>
      </c>
      <c r="BA355" s="56" t="n">
        <f aca="false">COS($A$10*AG355)*SIN($A$10*AZ355)</f>
        <v>-0.869827068662623</v>
      </c>
      <c r="BB355" s="56" t="n">
        <f aca="false">COS($A$10*AG355)*COS($A$10*AZ355)-AW355*AY355</f>
        <v>-0.428474542473514</v>
      </c>
      <c r="BC355" s="56" t="n">
        <f aca="false">SIN($A$10*AG355)-AX355*AY355</f>
        <v>-0.275871993223355</v>
      </c>
      <c r="BD355" s="57" t="n">
        <f aca="false">SQRT(BA355^2+BB355^2+BC355^2)</f>
        <v>1.00811453693076</v>
      </c>
      <c r="BE355" s="58" t="n">
        <f aca="false">AU355*BD355</f>
        <v>377072.770600877</v>
      </c>
    </row>
    <row r="356" customFormat="false" ht="15" hidden="false" customHeight="false" outlineLevel="0" collapsed="false">
      <c r="D356" s="41" t="n">
        <f aca="false">K356-INT(275*E356/9)+IF($A$8="common year",2,1)*INT((E356+9)/12)+30</f>
        <v>21</v>
      </c>
      <c r="E356" s="41" t="n">
        <f aca="false">IF(K356&lt;32,1,INT(9*(IF($A$8="common year",2,1)+K356)/275+0.98))</f>
        <v>12</v>
      </c>
      <c r="F356" s="42" t="n">
        <f aca="false">AM356</f>
        <v>-40.6553072965139</v>
      </c>
      <c r="G356" s="60" t="n">
        <f aca="false">F356+1.02/(TAN($A$10*(F356+10.3/(F356+5.11)))*60)</f>
        <v>-40.6749014615635</v>
      </c>
      <c r="H356" s="43" t="n">
        <f aca="false">100*(1+COS($A$10*AQ356))/2</f>
        <v>8.30622838168647</v>
      </c>
      <c r="I356" s="43" t="n">
        <f aca="false">IF(AI356&gt;180,AT356-180,AT356+180)</f>
        <v>73.023983557739</v>
      </c>
      <c r="J356" s="61" t="n">
        <f aca="false">$J$2+K355</f>
        <v>2459934.5</v>
      </c>
      <c r="K356" s="21" t="n">
        <v>355</v>
      </c>
      <c r="L356" s="62" t="n">
        <f aca="false">(J356-2451545)/36525</f>
        <v>0.229691991786448</v>
      </c>
      <c r="M356" s="63" t="n">
        <f aca="false">MOD(280.46061837+360.98564736629*(J356-2451545)+0.000387933*L356^2-L356^3/38710000+$B$7,360)</f>
        <v>104.549218326341</v>
      </c>
      <c r="N356" s="30" t="n">
        <f aca="false">0.606433+1336.855225*L356 - INT(0.606433+1336.855225*L356)</f>
        <v>0.671372360369617</v>
      </c>
      <c r="O356" s="35" t="n">
        <f aca="false">22640*SIN(P356)-4586*SIN(P356-2*R356)+2370*SIN(2*R356)+769*SIN(2*P356)-668*SIN(Q356)-412*SIN(2*S356)-212*SIN(2*P356-2*R356)-206*SIN(P356+Q356-2*R356)+192*SIN(P356+2*R356)-165*SIN(Q356-2*R356)-125*SIN(R356)-110*SIN(P356+Q356)+148*SIN(P356-Q356)-55*SIN(2*S356-2*R356)</f>
        <v>-21622.7155107914</v>
      </c>
      <c r="P356" s="32" t="n">
        <f aca="false">2*PI()*(0.374897+1325.55241*L356 - INT(0.374897+1325.55241*L356))</f>
        <v>5.30093664598734</v>
      </c>
      <c r="Q356" s="36" t="n">
        <f aca="false">2*PI()*(0.993133+99.997361*L356 - INT(0.993133+99.997361*L356))</f>
        <v>6.04270280768562</v>
      </c>
      <c r="R356" s="36" t="n">
        <f aca="false">2*PI()*(0.827361+1236.853086*L356 - INT(0.827361+1236.853086*L356))</f>
        <v>5.79692878292642</v>
      </c>
      <c r="S356" s="36" t="n">
        <f aca="false">2*PI()*(0.259086+1342.227825*L356 - INT(0.259086+1342.227825*L356))</f>
        <v>3.50644814794884</v>
      </c>
      <c r="T356" s="36" t="n">
        <f aca="false">S356+(O356+412*SIN(2*S356)+541*SIN(Q356))/206264.8062</f>
        <v>3.40232517605348</v>
      </c>
      <c r="U356" s="36" t="n">
        <f aca="false">S356-2*R356</f>
        <v>-8.087409417904</v>
      </c>
      <c r="V356" s="34" t="n">
        <f aca="false">-526*SIN(U356)+44*SIN(P356+U356)-31*SIN(-P356+U356)-23*SIN(Q356+U356)+11*SIN(-Q356+U356)-25*SIN(-2*P356+S356)+21*SIN(-P356+S356)</f>
        <v>526.277215612124</v>
      </c>
      <c r="W356" s="36" t="n">
        <f aca="false">2*PI()*(N356+O356/1296000-INT(N356+O356/1296000))</f>
        <v>4.11352706729714</v>
      </c>
      <c r="X356" s="35" t="n">
        <f aca="false">W356*180/PI()</f>
        <v>235.687739868953</v>
      </c>
      <c r="Y356" s="36" t="n">
        <f aca="false">(18520*SIN(T356)+V356)/206264.8062</f>
        <v>-0.0205947090877081</v>
      </c>
      <c r="Z356" s="36" t="n">
        <f aca="false">Y356*180/PI()</f>
        <v>-1.1799899110254</v>
      </c>
      <c r="AA356" s="36" t="n">
        <f aca="false">COS(Y356)*COS(W356)</f>
        <v>-0.563583263457787</v>
      </c>
      <c r="AB356" s="36" t="n">
        <f aca="false">COS(Y356)*SIN(W356)</f>
        <v>-0.825802532734045</v>
      </c>
      <c r="AC356" s="36" t="n">
        <f aca="false">SIN(Y356)</f>
        <v>-0.0205932532715862</v>
      </c>
      <c r="AD356" s="36" t="n">
        <f aca="false">COS($A$10*(23.4393-46.815*L356/3600))*AB356-SIN($A$10*(23.4393-46.815*L356/3600))*AC356</f>
        <v>-0.74948553960774</v>
      </c>
      <c r="AE356" s="36" t="n">
        <f aca="false">SIN($A$10*(23.4393-46.815*L356/3600))*AB356+COS($A$10*(23.4393-46.815*L356/3600))*AC356</f>
        <v>-0.347340367750662</v>
      </c>
      <c r="AF356" s="36" t="n">
        <f aca="false">SQRT(1-AE356*AE356)</f>
        <v>0.937739126266381</v>
      </c>
      <c r="AG356" s="35" t="n">
        <f aca="false">ATAN(AE356/AF356)/$A$10</f>
        <v>-20.3247261479926</v>
      </c>
      <c r="AH356" s="36" t="n">
        <f aca="false">IF(24*ATAN(AD356/(AA356+AF356))/PI()&gt;0,24*ATAN(AD356/(AA356+AF356))/PI(),24*ATAN(AD356/(AA356+AF356))/PI()+24)</f>
        <v>15.5372194934137</v>
      </c>
      <c r="AI356" s="63" t="n">
        <f aca="false">IF(M356-15*AH356&gt;0,M356-15*AH356,360+M356-15*AH356)</f>
        <v>231.490925925136</v>
      </c>
      <c r="AJ356" s="32" t="n">
        <f aca="false">0.950724+0.051818*COS(P356)+0.009531*COS(2*R356-P356)+0.007843*COS(2*R356)+0.002824*COS(2*P356)+0.000857*COS(2*R356+P356)+0.000533*COS(2*R356-Q356)*(1-0.002495*(J356-2415020)/36525)+0.000401*COS(2*R356-Q356-P356)*(1-0.002495*(J356-2415020)/36525)+0.00032*COS(P356-Q356)*(1-0.002495*(J356-2415020)/36525)-0.000271*COS(R356)</f>
        <v>0.992812703344761</v>
      </c>
      <c r="AK356" s="36" t="n">
        <f aca="false">ASIN(COS($A$10*$B$5)*COS($A$10*AG356)*COS($A$10*AI356)+SIN($A$10*$B$5)*SIN($A$10*AG356))/$A$10</f>
        <v>-39.8951134081987</v>
      </c>
      <c r="AL356" s="32" t="n">
        <f aca="false">ASIN((0.9983271+0.0016764*COS($A$10*2*$B$5))*COS($A$10*AK356)*SIN($A$10*AJ356))/$A$10</f>
        <v>0.760193888315255</v>
      </c>
      <c r="AM356" s="32" t="n">
        <f aca="false">AK356-AL356</f>
        <v>-40.6553072965139</v>
      </c>
      <c r="AN356" s="35" t="n">
        <f aca="false"> MOD(280.4664567 + 360007.6982779*L356/10 + 0.03032028*L356^2/100 + L356^3/49931000,360)</f>
        <v>269.555000287273</v>
      </c>
      <c r="AO356" s="32" t="n">
        <f aca="false"> AN356 + (1.9146 - 0.004817*L356 - 0.000014*L356^2)*SIN(Q356)+ (0.019993 - 0.000101*L356)*SIN(2*Q356)+ 0.00029*SIN(3*Q356)</f>
        <v>269.089831006794</v>
      </c>
      <c r="AP356" s="32" t="n">
        <f aca="false">ACOS(COS(W356-$A$10*AO356)*COS(Y356))/$A$10</f>
        <v>33.4205121496562</v>
      </c>
      <c r="AQ356" s="34" t="n">
        <f aca="false">180 - AP356 -0.1468*(1-0.0549*SIN(Q356))*SIN($A$10*AP356)/(1-0.0167*SIN($A$10*AO356))</f>
        <v>146.498921475525</v>
      </c>
      <c r="AR356" s="64" t="n">
        <f aca="false">SIN($A$10*AI356)</f>
        <v>-0.78250955784952</v>
      </c>
      <c r="AS356" s="64" t="n">
        <f aca="false">COS($A$10*AI356)*SIN($A$10*$B$5) - TAN($A$10*AG356)*COS($A$10*$B$5)</f>
        <v>-0.238879057179735</v>
      </c>
      <c r="AT356" s="24" t="n">
        <f aca="false">IF(OR(AND(AR356*AS356&gt;0), AND(AR356&lt;0,AS356&gt;0)), MOD(ATAN2(AS356,AR356)/$A$10+360,360),  ATAN2(AS356,AR356)/$A$10)</f>
        <v>253.023983557739</v>
      </c>
      <c r="AU356" s="39" t="n">
        <f aca="false"> 385000.56 + (-20905355*COS(P356) - 3699111*COS(2*R356-P356) - 2955968*COS(2*R356) - 569925*COS(2*P356) + (1-0.002516*L356)*48888*COS(Q356) - 3149*COS(2*S356)  +246158*COS(2*R356-2*P356) -(1 - 0.002516*L356)*152138*COS(2*R356-Q356-P356) -170733*COS(2*R356+P356) -(1 - 0.002516*L356)*204586*COS(2*R356-Q356) -(1 - 0.002516*L356)*129620*COS(Q356-P356)  + 108743*COS(R356) +(1-0.002516*L356)*104755*COS(Q356+P356) +10321*COS(2*R356-2*S356) +79661*COS(P356-2*S356) -34782*COS(4*R356-P356) -23210*COS(3*P356)  -21636*COS(4*R356-2*P356) +(1 - 0.002516*L356)*24208*COS(2*R356+Q356-P356) +(1 - 0.002516*L356)*30824*COS(2*R356+Q356) -8379*COS(R356-P356) -(1 - 0.002516*L356)*16675*COS(R356+Q356)  -(1 - 0.002516*L356)*12831*COS(2*R356-Q356+P356) -10445*COS(2*R356+2*P356) -11650*COS(4*R356) +14403*COS(2*R356-3*P356) -(1-0.002516*L356)*7003*COS(Q356-2*P356)  + (1 - 0.002516*L356)*10056*COS(2*R356-Q356-2*P356) +6322*COS(R356+P356) -(1 - 0.002516*L356)*(1-0.002516*L356)*9884*COS(2*R356-2*Q356) +(1-0.002516*L356)*5751*COS(Q356+2*P356) - (1-0.002516*L356)^2*4950*COS(2*R356-2*Q356-P356)  +4130*COS(2*R356+P356-2*S356) -(1-0.002516*L356)*3958*COS(4*R356-Q356-P356) +3258*COS(3*R356-P356) +(1 - 0.002516*L356)*2616*COS(2*R356+Q356+P356) -(1 - 0.002516*L356)*1897*COS(4*R356-Q356-2*P356)  -(1-0.002516*L356)^2*2117*COS(2*Q356-P356) +(1-0.002516*L356)^2*2354*COS(2*R356+2*Q356-P356) -1423*COS(4*R356+P356) -1117*COS(4*P356) -(1-0.002516*L356)*1571*COS(4*R356-Q356)  -1739*COS(R356-2*P356) -4421*COS(2*P356-2*S356) +(1-0.002516*L356)^2*1165*COS(2*Q356+P356) +8752*COS(2*R356-P356-2*S356))/1000</f>
        <v>368218.839065436</v>
      </c>
      <c r="AV356" s="54" t="n">
        <f aca="false">ATAN(0.99664719*TAN($A$10*input!$E$2))</f>
        <v>0.871010436227447</v>
      </c>
      <c r="AW356" s="54" t="n">
        <f aca="false">COS(AV356)</f>
        <v>0.644053912545845</v>
      </c>
      <c r="AX356" s="54" t="n">
        <f aca="false">0.99664719*SIN(AV356)</f>
        <v>0.762415269897027</v>
      </c>
      <c r="AY356" s="54" t="n">
        <f aca="false">6378.14/AU356</f>
        <v>0.0173216015133505</v>
      </c>
      <c r="AZ356" s="55" t="n">
        <f aca="false">M356-15*AH356</f>
        <v>-128.509074074864</v>
      </c>
      <c r="BA356" s="56" t="n">
        <f aca="false">COS($A$10*AG356)*SIN($A$10*AZ356)</f>
        <v>-0.7337898290729</v>
      </c>
      <c r="BB356" s="56" t="n">
        <f aca="false">COS($A$10*AG356)*COS($A$10*AZ356)-AW356*AY356</f>
        <v>-0.595028596113839</v>
      </c>
      <c r="BC356" s="56" t="n">
        <f aca="false">SIN($A$10*AG356)-AX356*AY356</f>
        <v>-0.360546621243511</v>
      </c>
      <c r="BD356" s="57" t="n">
        <f aca="false">SQRT(BA356^2+BB356^2+BC356^2)</f>
        <v>1.01118762330942</v>
      </c>
      <c r="BE356" s="58" t="n">
        <f aca="false">AU356*BD356</f>
        <v>372338.332732332</v>
      </c>
    </row>
    <row r="357" customFormat="false" ht="15" hidden="false" customHeight="false" outlineLevel="0" collapsed="false">
      <c r="D357" s="41" t="n">
        <f aca="false">K357-INT(275*E357/9)+IF($A$8="common year",2,1)*INT((E357+9)/12)+30</f>
        <v>22</v>
      </c>
      <c r="E357" s="41" t="n">
        <f aca="false">IF(K357&lt;32,1,INT(9*(IF($A$8="common year",2,1)+K357)/275+0.98))</f>
        <v>12</v>
      </c>
      <c r="F357" s="42" t="n">
        <f aca="false">AM357</f>
        <v>-52.0236379410337</v>
      </c>
      <c r="G357" s="60" t="n">
        <f aca="false">F357+1.02/(TAN($A$10*(F357+10.3/(F357+5.11)))*60)</f>
        <v>-52.0368039794866</v>
      </c>
      <c r="H357" s="43" t="n">
        <f aca="false">100*(1+COS($A$10*AQ357))/2</f>
        <v>3.04101723894276</v>
      </c>
      <c r="I357" s="43" t="n">
        <f aca="false">IF(AI357&gt;180,AT357-180,AT357+180)</f>
        <v>62.311179128793</v>
      </c>
      <c r="J357" s="61" t="n">
        <f aca="false">$J$2+K356</f>
        <v>2459935.5</v>
      </c>
      <c r="K357" s="21" t="n">
        <v>356</v>
      </c>
      <c r="L357" s="62" t="n">
        <f aca="false">(J357-2451545)/36525</f>
        <v>0.229719370294319</v>
      </c>
      <c r="M357" s="63" t="n">
        <f aca="false">MOD(280.46061837+360.98564736629*(J357-2451545)+0.000387933*L357^2-L357^3/38710000+$B$7,360)</f>
        <v>105.53486569738</v>
      </c>
      <c r="N357" s="30" t="n">
        <f aca="false">0.606433+1336.855225*L357 - INT(0.606433+1336.855225*L357)</f>
        <v>0.707973461670065</v>
      </c>
      <c r="O357" s="35" t="n">
        <f aca="false">22640*SIN(P357)-4586*SIN(P357-2*R357)+2370*SIN(2*R357)+769*SIN(2*P357)-668*SIN(Q357)-412*SIN(2*S357)-212*SIN(2*P357-2*R357)-206*SIN(P357+Q357-2*R357)+192*SIN(P357+2*R357)-165*SIN(Q357-2*R357)-125*SIN(R357)-110*SIN(P357+Q357)+148*SIN(P357-Q357)-55*SIN(2*S357-2*R357)</f>
        <v>-16775.3453698918</v>
      </c>
      <c r="P357" s="32" t="n">
        <f aca="false">2*PI()*(0.374897+1325.55241*L357 - INT(0.374897+1325.55241*L357))</f>
        <v>5.52896378976315</v>
      </c>
      <c r="Q357" s="36" t="n">
        <f aca="false">2*PI()*(0.993133+99.997361*L357 - INT(0.993133+99.997361*L357))</f>
        <v>6.0599047775526</v>
      </c>
      <c r="R357" s="36" t="n">
        <f aca="false">2*PI()*(0.827361+1236.853086*L357 - INT(0.827361+1236.853086*L357))</f>
        <v>6.00969749304544</v>
      </c>
      <c r="S357" s="36" t="n">
        <f aca="false">2*PI()*(0.259086+1342.227825*L357 - INT(0.259086+1342.227825*L357))</f>
        <v>3.73734386728985</v>
      </c>
      <c r="T357" s="36" t="n">
        <f aca="false">S357+(O357+412*SIN(2*S357)+541*SIN(Q357))/206264.8062</f>
        <v>3.65728938969039</v>
      </c>
      <c r="U357" s="36" t="n">
        <f aca="false">S357-2*R357</f>
        <v>-8.28205111880104</v>
      </c>
      <c r="V357" s="34" t="n">
        <f aca="false">-526*SIN(U357)+44*SIN(P357+U357)-31*SIN(-P357+U357)-23*SIN(Q357+U357)+11*SIN(-Q357+U357)-25*SIN(-2*P357+S357)+21*SIN(-P357+S357)</f>
        <v>499.794729685298</v>
      </c>
      <c r="W357" s="36" t="n">
        <f aca="false">2*PI()*(N357+O357/1296000-INT(N357+O357/1296000))</f>
        <v>4.36699928283181</v>
      </c>
      <c r="X357" s="35" t="n">
        <f aca="false">W357*180/PI()</f>
        <v>250.21062804292</v>
      </c>
      <c r="Y357" s="36" t="n">
        <f aca="false">(18520*SIN(T357)+V357)/206264.8062</f>
        <v>-0.0418548296554932</v>
      </c>
      <c r="Z357" s="36" t="n">
        <f aca="false">Y357*180/PI()</f>
        <v>-2.39810509149876</v>
      </c>
      <c r="AA357" s="36" t="n">
        <f aca="false">COS(Y357)*COS(W357)</f>
        <v>-0.338266877448277</v>
      </c>
      <c r="AB357" s="36" t="n">
        <f aca="false">COS(Y357)*SIN(W357)</f>
        <v>-0.940119521966576</v>
      </c>
      <c r="AC357" s="36" t="n">
        <f aca="false">SIN(Y357)</f>
        <v>-0.0418426103240406</v>
      </c>
      <c r="AD357" s="36" t="n">
        <f aca="false">COS($A$10*(23.4393-46.815*L357/3600))*AB357-SIN($A$10*(23.4393-46.815*L357/3600))*AC357</f>
        <v>-0.845920197110365</v>
      </c>
      <c r="AE357" s="36" t="n">
        <f aca="false">SIN($A$10*(23.4393-46.815*L357/3600))*AB357+COS($A$10*(23.4393-46.815*L357/3600))*AC357</f>
        <v>-0.412303940973348</v>
      </c>
      <c r="AF357" s="36" t="n">
        <f aca="false">SQRT(1-AE357*AE357)</f>
        <v>0.911046354615311</v>
      </c>
      <c r="AG357" s="35" t="n">
        <f aca="false">ATAN(AE357/AF357)/$A$10</f>
        <v>-24.3496471712268</v>
      </c>
      <c r="AH357" s="36" t="n">
        <f aca="false">IF(24*ATAN(AD357/(AA357+AF357))/PI()&gt;0,24*ATAN(AD357/(AA357+AF357))/PI(),24*ATAN(AD357/(AA357+AF357))/PI()+24)</f>
        <v>16.5469666575343</v>
      </c>
      <c r="AI357" s="63" t="n">
        <f aca="false">IF(M357-15*AH357&gt;0,M357-15*AH357,360+M357-15*AH357)</f>
        <v>217.330365834366</v>
      </c>
      <c r="AJ357" s="32" t="n">
        <f aca="false">0.950724+0.051818*COS(P357)+0.009531*COS(2*R357-P357)+0.007843*COS(2*R357)+0.002824*COS(2*P357)+0.000857*COS(2*R357+P357)+0.000533*COS(2*R357-Q357)*(1-0.002495*(J357-2415020)/36525)+0.000401*COS(2*R357-Q357-P357)*(1-0.002495*(J357-2415020)/36525)+0.00032*COS(P357-Q357)*(1-0.002495*(J357-2415020)/36525)-0.000271*COS(R357)</f>
        <v>1.00580043291568</v>
      </c>
      <c r="AK357" s="36" t="n">
        <f aca="false">ASIN(COS($A$10*$B$5)*COS($A$10*AG357)*COS($A$10*AI357)+SIN($A$10*$B$5)*SIN($A$10*AG357))/$A$10</f>
        <v>-51.3973554679972</v>
      </c>
      <c r="AL357" s="32" t="n">
        <f aca="false">ASIN((0.9983271+0.0016764*COS($A$10*2*$B$5))*COS($A$10*AK357)*SIN($A$10*AJ357))/$A$10</f>
        <v>0.626282473036487</v>
      </c>
      <c r="AM357" s="32" t="n">
        <f aca="false">AK357-AL357</f>
        <v>-52.0236379410337</v>
      </c>
      <c r="AN357" s="35" t="n">
        <f aca="false"> MOD(280.4664567 + 360007.6982779*L357/10 + 0.03032028*L357^2/100 + L357^3/49931000,360)</f>
        <v>270.540647651191</v>
      </c>
      <c r="AO357" s="32" t="n">
        <f aca="false"> AN357 + (1.9146 - 0.004817*L357 - 0.000014*L357^2)*SIN(Q357)+ (0.019993 - 0.000101*L357)*SIN(2*Q357)+ 0.00029*SIN(3*Q357)</f>
        <v>270.108138811987</v>
      </c>
      <c r="AP357" s="32" t="n">
        <f aca="false">ACOS(COS(W357-$A$10*AO357)*COS(Y357))/$A$10</f>
        <v>20.0356868351234</v>
      </c>
      <c r="AQ357" s="34" t="n">
        <f aca="false">180 - AP357 -0.1468*(1-0.0549*SIN(Q357))*SIN($A$10*AP357)/(1-0.0167*SIN($A$10*AO357))</f>
        <v>159.91424345487</v>
      </c>
      <c r="AR357" s="64" t="n">
        <f aca="false">SIN($A$10*AI357)</f>
        <v>-0.606409903190184</v>
      </c>
      <c r="AS357" s="64" t="n">
        <f aca="false">COS($A$10*AI357)*SIN($A$10*$B$5) - TAN($A$10*AG357)*COS($A$10*$B$5)</f>
        <v>-0.318221401164786</v>
      </c>
      <c r="AT357" s="24" t="n">
        <f aca="false">IF(OR(AND(AR357*AS357&gt;0), AND(AR357&lt;0,AS357&gt;0)), MOD(ATAN2(AS357,AR357)/$A$10+360,360),  ATAN2(AS357,AR357)/$A$10)</f>
        <v>242.311179128793</v>
      </c>
      <c r="AU357" s="39" t="n">
        <f aca="false"> 385000.56 + (-20905355*COS(P357) - 3699111*COS(2*R357-P357) - 2955968*COS(2*R357) - 569925*COS(2*P357) + (1-0.002516*L357)*48888*COS(Q357) - 3149*COS(2*S357)  +246158*COS(2*R357-2*P357) -(1 - 0.002516*L357)*152138*COS(2*R357-Q357-P357) -170733*COS(2*R357+P357) -(1 - 0.002516*L357)*204586*COS(2*R357-Q357) -(1 - 0.002516*L357)*129620*COS(Q357-P357)  + 108743*COS(R357) +(1-0.002516*L357)*104755*COS(Q357+P357) +10321*COS(2*R357-2*S357) +79661*COS(P357-2*S357) -34782*COS(4*R357-P357) -23210*COS(3*P357)  -21636*COS(4*R357-2*P357) +(1 - 0.002516*L357)*24208*COS(2*R357+Q357-P357) +(1 - 0.002516*L357)*30824*COS(2*R357+Q357) -8379*COS(R357-P357) -(1 - 0.002516*L357)*16675*COS(R357+Q357)  -(1 - 0.002516*L357)*12831*COS(2*R357-Q357+P357) -10445*COS(2*R357+2*P357) -11650*COS(4*R357) +14403*COS(2*R357-3*P357) -(1-0.002516*L357)*7003*COS(Q357-2*P357)  + (1 - 0.002516*L357)*10056*COS(2*R357-Q357-2*P357) +6322*COS(R357+P357) -(1 - 0.002516*L357)*(1-0.002516*L357)*9884*COS(2*R357-2*Q357) +(1-0.002516*L357)*5751*COS(Q357+2*P357) - (1-0.002516*L357)^2*4950*COS(2*R357-2*Q357-P357)  +4130*COS(2*R357+P357-2*S357) -(1-0.002516*L357)*3958*COS(4*R357-Q357-P357) +3258*COS(3*R357-P357) +(1 - 0.002516*L357)*2616*COS(2*R357+Q357+P357) -(1 - 0.002516*L357)*1897*COS(4*R357-Q357-2*P357)  -(1-0.002516*L357)^2*2117*COS(2*Q357-P357) +(1-0.002516*L357)^2*2354*COS(2*R357+2*Q357-P357) -1423*COS(4*R357+P357) -1117*COS(4*P357) -(1-0.002516*L357)*1571*COS(4*R357-Q357)  -1739*COS(R357-2*P357) -4421*COS(2*P357-2*S357) +(1-0.002516*L357)^2*1165*COS(2*Q357+P357) +8752*COS(2*R357-P357-2*S357))/1000</f>
        <v>363387.251718177</v>
      </c>
      <c r="AV357" s="54" t="n">
        <f aca="false">ATAN(0.99664719*TAN($A$10*input!$E$2))</f>
        <v>0.871010436227447</v>
      </c>
      <c r="AW357" s="54" t="n">
        <f aca="false">COS(AV357)</f>
        <v>0.644053912545845</v>
      </c>
      <c r="AX357" s="54" t="n">
        <f aca="false">0.99664719*SIN(AV357)</f>
        <v>0.762415269897027</v>
      </c>
      <c r="AY357" s="54" t="n">
        <f aca="false">6378.14/AU357</f>
        <v>0.0175519090717759</v>
      </c>
      <c r="AZ357" s="55" t="n">
        <f aca="false">M357-15*AH357</f>
        <v>-142.669634165634</v>
      </c>
      <c r="BA357" s="56" t="n">
        <f aca="false">COS($A$10*AG357)*SIN($A$10*AZ357)</f>
        <v>-0.552467531704039</v>
      </c>
      <c r="BB357" s="56" t="n">
        <f aca="false">COS($A$10*AG357)*COS($A$10*AZ357)-AW357*AY357</f>
        <v>-0.735724893552479</v>
      </c>
      <c r="BC357" s="56" t="n">
        <f aca="false">SIN($A$10*AG357)-AX357*AY357</f>
        <v>-0.425685784465514</v>
      </c>
      <c r="BD357" s="57" t="n">
        <f aca="false">SQRT(BA357^2+BB357^2+BC357^2)</f>
        <v>1.01376519947963</v>
      </c>
      <c r="BE357" s="58" t="n">
        <f aca="false">AU357*BD357</f>
        <v>368389.349726433</v>
      </c>
    </row>
    <row r="358" customFormat="false" ht="15" hidden="false" customHeight="false" outlineLevel="0" collapsed="false">
      <c r="D358" s="41" t="n">
        <f aca="false">K358-INT(275*E358/9)+IF($A$8="common year",2,1)*INT((E358+9)/12)+30</f>
        <v>23</v>
      </c>
      <c r="E358" s="41" t="n">
        <f aca="false">IF(K358&lt;32,1,INT(9*(IF($A$8="common year",2,1)+K358)/275+0.98))</f>
        <v>12</v>
      </c>
      <c r="F358" s="42" t="n">
        <f aca="false">AM358</f>
        <v>-61.8277106363298</v>
      </c>
      <c r="G358" s="60" t="n">
        <f aca="false">F358+1.02/(TAN($A$10*(F358+10.3/(F358+5.11)))*60)</f>
        <v>-61.836746153019</v>
      </c>
      <c r="H358" s="43" t="n">
        <f aca="false">100*(1+COS($A$10*AQ358))/2</f>
        <v>0.370400268079046</v>
      </c>
      <c r="I358" s="43" t="n">
        <f aca="false">IF(AI358&gt;180,AT358-180,AT358+180)</f>
        <v>44.2123720065536</v>
      </c>
      <c r="J358" s="61" t="n">
        <f aca="false">$J$2+K357</f>
        <v>2459936.5</v>
      </c>
      <c r="K358" s="21" t="n">
        <v>357</v>
      </c>
      <c r="L358" s="62" t="n">
        <f aca="false">(J358-2451545)/36525</f>
        <v>0.22974674880219</v>
      </c>
      <c r="M358" s="63" t="n">
        <f aca="false">MOD(280.46061837+360.98564736629*(J358-2451545)+0.000387933*L358^2-L358^3/38710000+$B$7,360)</f>
        <v>106.520513068419</v>
      </c>
      <c r="N358" s="30" t="n">
        <f aca="false">0.606433+1336.855225*L358 - INT(0.606433+1336.855225*L358)</f>
        <v>0.74457456297057</v>
      </c>
      <c r="O358" s="35" t="n">
        <f aca="false">22640*SIN(P358)-4586*SIN(P358-2*R358)+2370*SIN(2*R358)+769*SIN(2*P358)-668*SIN(Q358)-412*SIN(2*S358)-212*SIN(2*P358-2*R358)-206*SIN(P358+Q358-2*R358)+192*SIN(P358+2*R358)-165*SIN(Q358-2*R358)-125*SIN(R358)-110*SIN(P358+Q358)+148*SIN(P358-Q358)-55*SIN(2*S358-2*R358)</f>
        <v>-10626.8584193214</v>
      </c>
      <c r="P358" s="32" t="n">
        <f aca="false">2*PI()*(0.374897+1325.55241*L358 - INT(0.374897+1325.55241*L358))</f>
        <v>5.75699093353897</v>
      </c>
      <c r="Q358" s="36" t="n">
        <f aca="false">2*PI()*(0.993133+99.997361*L358 - INT(0.993133+99.997361*L358))</f>
        <v>6.07710674741959</v>
      </c>
      <c r="R358" s="36" t="n">
        <f aca="false">2*PI()*(0.827361+1236.853086*L358 - INT(0.827361+1236.853086*L358))</f>
        <v>6.22246620316447</v>
      </c>
      <c r="S358" s="36" t="n">
        <f aca="false">2*PI()*(0.259086+1342.227825*L358 - INT(0.259086+1342.227825*L358))</f>
        <v>3.96823958663085</v>
      </c>
      <c r="T358" s="36" t="n">
        <f aca="false">S358+(O358+412*SIN(2*S358)+541*SIN(Q358))/206264.8062</f>
        <v>3.9181730683978</v>
      </c>
      <c r="U358" s="36" t="n">
        <f aca="false">S358-2*R358</f>
        <v>-8.47669281969809</v>
      </c>
      <c r="V358" s="34" t="n">
        <f aca="false">-526*SIN(U358)+44*SIN(P358+U358)-31*SIN(-P358+U358)-23*SIN(Q358+U358)+11*SIN(-Q358+U358)-25*SIN(-2*P358+S358)+21*SIN(-P358+S358)</f>
        <v>448.910423107704</v>
      </c>
      <c r="W358" s="36" t="n">
        <f aca="false">2*PI()*(N358+O358/1296000-INT(N358+O358/1296000))</f>
        <v>4.62677949066734</v>
      </c>
      <c r="X358" s="35" t="n">
        <f aca="false">W358*180/PI()</f>
        <v>265.094937552927</v>
      </c>
      <c r="Y358" s="36" t="n">
        <f aca="false">(18520*SIN(T358)+V358)/206264.8062</f>
        <v>-0.0607506725056682</v>
      </c>
      <c r="Z358" s="36" t="n">
        <f aca="false">Y358*180/PI()</f>
        <v>-3.48075713715624</v>
      </c>
      <c r="AA358" s="36" t="n">
        <f aca="false">COS(Y358)*COS(W358)</f>
        <v>-0.0853472205923809</v>
      </c>
      <c r="AB358" s="36" t="n">
        <f aca="false">COS(Y358)*SIN(W358)</f>
        <v>-0.994499746494959</v>
      </c>
      <c r="AC358" s="36" t="n">
        <f aca="false">SIN(Y358)</f>
        <v>-0.060713311214408</v>
      </c>
      <c r="AD358" s="36" t="n">
        <f aca="false">COS($A$10*(23.4393-46.815*L358/3600))*AB358-SIN($A$10*(23.4393-46.815*L358/3600))*AC358</f>
        <v>-0.888308771136288</v>
      </c>
      <c r="AE358" s="36" t="n">
        <f aca="false">SIN($A$10*(23.4393-46.815*L358/3600))*AB358+COS($A$10*(23.4393-46.815*L358/3600))*AC358</f>
        <v>-0.451246472628312</v>
      </c>
      <c r="AF358" s="36" t="n">
        <f aca="false">SQRT(1-AE358*AE358)</f>
        <v>0.892399361799697</v>
      </c>
      <c r="AG358" s="35" t="n">
        <f aca="false">ATAN(AE358/AF358)/$A$10</f>
        <v>-26.8236845022114</v>
      </c>
      <c r="AH358" s="36" t="n">
        <f aca="false">IF(24*ATAN(AD358/(AA358+AF358))/PI()&gt;0,24*ATAN(AD358/(AA358+AF358))/PI(),24*ATAN(AD358/(AA358+AF358))/PI()+24)</f>
        <v>17.63413085093</v>
      </c>
      <c r="AI358" s="63" t="n">
        <f aca="false">IF(M358-15*AH358&gt;0,M358-15*AH358,360+M358-15*AH358)</f>
        <v>202.008550304469</v>
      </c>
      <c r="AJ358" s="32" t="n">
        <f aca="false">0.950724+0.051818*COS(P358)+0.009531*COS(2*R358-P358)+0.007843*COS(2*R358)+0.002824*COS(2*P358)+0.000857*COS(2*R358+P358)+0.000533*COS(2*R358-Q358)*(1-0.002495*(J358-2415020)/36525)+0.000401*COS(2*R358-Q358-P358)*(1-0.002495*(J358-2415020)/36525)+0.00032*COS(P358-Q358)*(1-0.002495*(J358-2415020)/36525)-0.000271*COS(R358)</f>
        <v>1.01505043163813</v>
      </c>
      <c r="AK358" s="36" t="n">
        <f aca="false">ASIN(COS($A$10*$B$5)*COS($A$10*AG358)*COS($A$10*AI358)+SIN($A$10*$B$5)*SIN($A$10*AG358))/$A$10</f>
        <v>-61.3418862588852</v>
      </c>
      <c r="AL358" s="32" t="n">
        <f aca="false">ASIN((0.9983271+0.0016764*COS($A$10*2*$B$5))*COS($A$10*AK358)*SIN($A$10*AJ358))/$A$10</f>
        <v>0.48582437744463</v>
      </c>
      <c r="AM358" s="32" t="n">
        <f aca="false">AK358-AL358</f>
        <v>-61.8277106363298</v>
      </c>
      <c r="AN358" s="35" t="n">
        <f aca="false"> MOD(280.4664567 + 360007.6982779*L358/10 + 0.03032028*L358^2/100 + L358^3/49931000,360)</f>
        <v>271.52629501511</v>
      </c>
      <c r="AO358" s="32" t="n">
        <f aca="false"> AN358 + (1.9146 - 0.004817*L358 - 0.000014*L358^2)*SIN(Q358)+ (0.019993 - 0.000101*L358)*SIN(2*Q358)+ 0.00029*SIN(3*Q358)</f>
        <v>271.126582673304</v>
      </c>
      <c r="AP358" s="32" t="n">
        <f aca="false">ACOS(COS(W358-$A$10*AO358)*COS(Y358))/$A$10</f>
        <v>6.96071927937004</v>
      </c>
      <c r="AQ358" s="34" t="n">
        <f aca="false">180 - AP358 -0.1468*(1-0.0549*SIN(Q358))*SIN($A$10*AP358)/(1-0.0167*SIN($A$10*AO358))</f>
        <v>173.021585790841</v>
      </c>
      <c r="AR358" s="64" t="n">
        <f aca="false">SIN($A$10*AI358)</f>
        <v>-0.374744953785549</v>
      </c>
      <c r="AS358" s="64" t="n">
        <f aca="false">COS($A$10*AI358)*SIN($A$10*$B$5) - TAN($A$10*AG358)*COS($A$10*$B$5)</f>
        <v>-0.385192241864704</v>
      </c>
      <c r="AT358" s="24" t="n">
        <f aca="false">IF(OR(AND(AR358*AS358&gt;0), AND(AR358&lt;0,AS358&gt;0)), MOD(ATAN2(AS358,AR358)/$A$10+360,360),  ATAN2(AS358,AR358)/$A$10)</f>
        <v>224.212372006554</v>
      </c>
      <c r="AU358" s="39" t="n">
        <f aca="false"> 385000.56 + (-20905355*COS(P358) - 3699111*COS(2*R358-P358) - 2955968*COS(2*R358) - 569925*COS(2*P358) + (1-0.002516*L358)*48888*COS(Q358) - 3149*COS(2*S358)  +246158*COS(2*R358-2*P358) -(1 - 0.002516*L358)*152138*COS(2*R358-Q358-P358) -170733*COS(2*R358+P358) -(1 - 0.002516*L358)*204586*COS(2*R358-Q358) -(1 - 0.002516*L358)*129620*COS(Q358-P358)  + 108743*COS(R358) +(1-0.002516*L358)*104755*COS(Q358+P358) +10321*COS(2*R358-2*S358) +79661*COS(P358-2*S358) -34782*COS(4*R358-P358) -23210*COS(3*P358)  -21636*COS(4*R358-2*P358) +(1 - 0.002516*L358)*24208*COS(2*R358+Q358-P358) +(1 - 0.002516*L358)*30824*COS(2*R358+Q358) -8379*COS(R358-P358) -(1 - 0.002516*L358)*16675*COS(R358+Q358)  -(1 - 0.002516*L358)*12831*COS(2*R358-Q358+P358) -10445*COS(2*R358+2*P358) -11650*COS(4*R358) +14403*COS(2*R358-3*P358) -(1-0.002516*L358)*7003*COS(Q358-2*P358)  + (1 - 0.002516*L358)*10056*COS(2*R358-Q358-2*P358) +6322*COS(R358+P358) -(1 - 0.002516*L358)*(1-0.002516*L358)*9884*COS(2*R358-2*Q358) +(1-0.002516*L358)*5751*COS(Q358+2*P358) - (1-0.002516*L358)^2*4950*COS(2*R358-2*Q358-P358)  +4130*COS(2*R358+P358-2*S358) -(1-0.002516*L358)*3958*COS(4*R358-Q358-P358) +3258*COS(3*R358-P358) +(1 - 0.002516*L358)*2616*COS(2*R358+Q358+P358) -(1 - 0.002516*L358)*1897*COS(4*R358-Q358-2*P358)  -(1-0.002516*L358)^2*2117*COS(2*Q358-P358) +(1-0.002516*L358)^2*2354*COS(2*R358+2*Q358-P358) -1423*COS(4*R358+P358) -1117*COS(4*P358) -(1-0.002516*L358)*1571*COS(4*R358-Q358)  -1739*COS(R358-2*P358) -4421*COS(2*P358-2*S358) +(1-0.002516*L358)^2*1165*COS(2*Q358+P358) +8752*COS(2*R358-P358-2*S358))/1000</f>
        <v>360004.705897288</v>
      </c>
      <c r="AV358" s="54" t="n">
        <f aca="false">ATAN(0.99664719*TAN($A$10*input!$E$2))</f>
        <v>0.871010436227447</v>
      </c>
      <c r="AW358" s="54" t="n">
        <f aca="false">COS(AV358)</f>
        <v>0.644053912545845</v>
      </c>
      <c r="AX358" s="54" t="n">
        <f aca="false">0.99664719*SIN(AV358)</f>
        <v>0.762415269897027</v>
      </c>
      <c r="AY358" s="54" t="n">
        <f aca="false">6378.14/AU358</f>
        <v>0.0177168239623504</v>
      </c>
      <c r="AZ358" s="55" t="n">
        <f aca="false">M358-15*AH358</f>
        <v>-157.991449695531</v>
      </c>
      <c r="BA358" s="56" t="n">
        <f aca="false">COS($A$10*AG358)*SIN($A$10*AZ358)</f>
        <v>-0.33442215759588</v>
      </c>
      <c r="BB358" s="56" t="n">
        <f aca="false">COS($A$10*AG358)*COS($A$10*AZ358)-AW358*AY358</f>
        <v>-0.838778972948801</v>
      </c>
      <c r="BC358" s="56" t="n">
        <f aca="false">SIN($A$10*AG358)-AX358*AY358</f>
        <v>-0.464754049751286</v>
      </c>
      <c r="BD358" s="57" t="n">
        <f aca="false">SQRT(BA358^2+BB358^2+BC358^2)</f>
        <v>1.0155711061823</v>
      </c>
      <c r="BE358" s="58" t="n">
        <f aca="false">AU358*BD358</f>
        <v>365610.377398944</v>
      </c>
    </row>
    <row r="359" customFormat="false" ht="15" hidden="false" customHeight="false" outlineLevel="0" collapsed="false">
      <c r="D359" s="41" t="n">
        <f aca="false">K359-INT(275*E359/9)+IF($A$8="common year",2,1)*INT((E359+9)/12)+30</f>
        <v>24</v>
      </c>
      <c r="E359" s="41" t="n">
        <f aca="false">IF(K359&lt;32,1,INT(9*(IF($A$8="common year",2,1)+K359)/275+0.98))</f>
        <v>12</v>
      </c>
      <c r="F359" s="42" t="n">
        <f aca="false">AM359</f>
        <v>-67.2996203015262</v>
      </c>
      <c r="G359" s="60" t="n">
        <f aca="false">F359+1.02/(TAN($A$10*(F359+10.3/(F359+5.11)))*60)</f>
        <v>-67.3066740171694</v>
      </c>
      <c r="H359" s="43" t="n">
        <f aca="false">100*(1+COS($A$10*AQ359))/2</f>
        <v>0.639376181173051</v>
      </c>
      <c r="I359" s="43" t="n">
        <f aca="false">IF(AI359&gt;180,AT359-180,AT359+180)</f>
        <v>13.7477613559219</v>
      </c>
      <c r="J359" s="61" t="n">
        <f aca="false">$J$2+K358</f>
        <v>2459937.5</v>
      </c>
      <c r="K359" s="21" t="n">
        <v>358</v>
      </c>
      <c r="L359" s="62" t="n">
        <f aca="false">(J359-2451545)/36525</f>
        <v>0.229774127310062</v>
      </c>
      <c r="M359" s="63" t="n">
        <f aca="false">MOD(280.46061837+360.98564736629*(J359-2451545)+0.000387933*L359^2-L359^3/38710000+$B$7,360)</f>
        <v>107.506160439458</v>
      </c>
      <c r="N359" s="30" t="n">
        <f aca="false">0.606433+1336.855225*L359 - INT(0.606433+1336.855225*L359)</f>
        <v>0.781175664271018</v>
      </c>
      <c r="O359" s="35" t="n">
        <f aca="false">22640*SIN(P359)-4586*SIN(P359-2*R359)+2370*SIN(2*R359)+769*SIN(2*P359)-668*SIN(Q359)-412*SIN(2*S359)-212*SIN(2*P359-2*R359)-206*SIN(P359+Q359-2*R359)+192*SIN(P359+2*R359)-165*SIN(Q359-2*R359)-125*SIN(R359)-110*SIN(P359+Q359)+148*SIN(P359-Q359)-55*SIN(2*S359-2*R359)</f>
        <v>-3647.33875879928</v>
      </c>
      <c r="P359" s="32" t="n">
        <f aca="false">2*PI()*(0.374897+1325.55241*L359 - INT(0.374897+1325.55241*L359))</f>
        <v>5.98501807731443</v>
      </c>
      <c r="Q359" s="36" t="n">
        <f aca="false">2*PI()*(0.993133+99.997361*L359 - INT(0.993133+99.997361*L359))</f>
        <v>6.0943087172866</v>
      </c>
      <c r="R359" s="36" t="n">
        <f aca="false">2*PI()*(0.827361+1236.853086*L359 - INT(0.827361+1236.853086*L359))</f>
        <v>0.152049606103907</v>
      </c>
      <c r="S359" s="36" t="n">
        <f aca="false">2*PI()*(0.259086+1342.227825*L359 - INT(0.259086+1342.227825*L359))</f>
        <v>4.19913530597186</v>
      </c>
      <c r="T359" s="36" t="n">
        <f aca="false">S359+(O359+412*SIN(2*S359)+541*SIN(Q359))/206264.8062</f>
        <v>4.1826688502015</v>
      </c>
      <c r="U359" s="36" t="n">
        <f aca="false">S359-2*R359</f>
        <v>3.89503609376404</v>
      </c>
      <c r="V359" s="34" t="n">
        <f aca="false">-526*SIN(U359)+44*SIN(P359+U359)-31*SIN(-P359+U359)-23*SIN(Q359+U359)+11*SIN(-Q359+U359)-25*SIN(-2*P359+S359)+21*SIN(-P359+S359)</f>
        <v>375.238436134103</v>
      </c>
      <c r="W359" s="36" t="n">
        <f aca="false">2*PI()*(N359+O359/1296000-INT(N359+O359/1296000))</f>
        <v>4.89058865877484</v>
      </c>
      <c r="X359" s="35" t="n">
        <f aca="false">W359*180/PI()</f>
        <v>280.210089482344</v>
      </c>
      <c r="Y359" s="36" t="n">
        <f aca="false">(18520*SIN(T359)+V359)/206264.8062</f>
        <v>-0.0756627776029212</v>
      </c>
      <c r="Z359" s="36" t="n">
        <f aca="false">Y359*180/PI()</f>
        <v>-4.33515782288436</v>
      </c>
      <c r="AA359" s="36" t="n">
        <f aca="false">COS(Y359)*COS(W359)</f>
        <v>0.176750902808925</v>
      </c>
      <c r="AB359" s="36" t="n">
        <f aca="false">COS(Y359)*SIN(W359)</f>
        <v>-0.981348653009988</v>
      </c>
      <c r="AC359" s="36" t="n">
        <f aca="false">SIN(Y359)</f>
        <v>-0.0755906051815423</v>
      </c>
      <c r="AD359" s="36" t="n">
        <f aca="false">COS($A$10*(23.4393-46.815*L359/3600))*AB359-SIN($A$10*(23.4393-46.815*L359/3600))*AC359</f>
        <v>-0.870325471636054</v>
      </c>
      <c r="AE359" s="36" t="n">
        <f aca="false">SIN($A$10*(23.4393-46.815*L359/3600))*AB359+COS($A$10*(23.4393-46.815*L359/3600))*AC359</f>
        <v>-0.459665847956654</v>
      </c>
      <c r="AF359" s="36" t="n">
        <f aca="false">SQRT(1-AE359*AE359)</f>
        <v>0.888091948067479</v>
      </c>
      <c r="AG359" s="35" t="n">
        <f aca="false">ATAN(AE359/AF359)/$A$10</f>
        <v>-27.3655473850113</v>
      </c>
      <c r="AH359" s="36" t="n">
        <f aca="false">IF(24*ATAN(AD359/(AA359+AF359))/PI()&gt;0,24*ATAN(AD359/(AA359+AF359))/PI(),24*ATAN(AD359/(AA359+AF359))/PI()+24)</f>
        <v>18.7653229559587</v>
      </c>
      <c r="AI359" s="63" t="n">
        <f aca="false">IF(M359-15*AH359&gt;0,M359-15*AH359,360+M359-15*AH359)</f>
        <v>186.026316100077</v>
      </c>
      <c r="AJ359" s="32" t="n">
        <f aca="false">0.950724+0.051818*COS(P359)+0.009531*COS(2*R359-P359)+0.007843*COS(2*R359)+0.002824*COS(2*P359)+0.000857*COS(2*R359+P359)+0.000533*COS(2*R359-Q359)*(1-0.002495*(J359-2415020)/36525)+0.000401*COS(2*R359-Q359-P359)*(1-0.002495*(J359-2415020)/36525)+0.00032*COS(P359-Q359)*(1-0.002495*(J359-2415020)/36525)-0.000271*COS(R359)</f>
        <v>1.01958475404617</v>
      </c>
      <c r="AK359" s="36" t="n">
        <f aca="false">ASIN(COS($A$10*$B$5)*COS($A$10*AG359)*COS($A$10*AI359)+SIN($A$10*$B$5)*SIN($A$10*AG359))/$A$10</f>
        <v>-66.9004095318084</v>
      </c>
      <c r="AL359" s="32" t="n">
        <f aca="false">ASIN((0.9983271+0.0016764*COS($A$10*2*$B$5))*COS($A$10*AK359)*SIN($A$10*AJ359))/$A$10</f>
        <v>0.399210769717754</v>
      </c>
      <c r="AM359" s="32" t="n">
        <f aca="false">AK359-AL359</f>
        <v>-67.2996203015262</v>
      </c>
      <c r="AN359" s="35" t="n">
        <f aca="false"> MOD(280.4664567 + 360007.6982779*L359/10 + 0.03032028*L359^2/100 + L359^3/49931000,360)</f>
        <v>272.511942379027</v>
      </c>
      <c r="AO359" s="32" t="n">
        <f aca="false"> AN359 + (1.9146 - 0.004817*L359 - 0.000014*L359^2)*SIN(Q359)+ (0.019993 - 0.000101*L359)*SIN(2*Q359)+ 0.00029*SIN(3*Q359)</f>
        <v>272.145152303455</v>
      </c>
      <c r="AP359" s="32" t="n">
        <f aca="false">ACOS(COS(W359-$A$10*AO359)*COS(Y359))/$A$10</f>
        <v>9.14945203640351</v>
      </c>
      <c r="AQ359" s="34" t="n">
        <f aca="false">180 - AP359 -0.1468*(1-0.0549*SIN(Q359))*SIN($A$10*AP359)/(1-0.0167*SIN($A$10*AO359))</f>
        <v>170.827351753241</v>
      </c>
      <c r="AR359" s="64" t="n">
        <f aca="false">SIN($A$10*AI359)</f>
        <v>-0.10498523871096</v>
      </c>
      <c r="AS359" s="64" t="n">
        <f aca="false">COS($A$10*AI359)*SIN($A$10*$B$5) - TAN($A$10*AG359)*COS($A$10*$B$5)</f>
        <v>-0.429111878284379</v>
      </c>
      <c r="AT359" s="24" t="n">
        <f aca="false">IF(OR(AND(AR359*AS359&gt;0), AND(AR359&lt;0,AS359&gt;0)), MOD(ATAN2(AS359,AR359)/$A$10+360,360),  ATAN2(AS359,AR359)/$A$10)</f>
        <v>193.747761355922</v>
      </c>
      <c r="AU359" s="39" t="n">
        <f aca="false"> 385000.56 + (-20905355*COS(P359) - 3699111*COS(2*R359-P359) - 2955968*COS(2*R359) - 569925*COS(2*P359) + (1-0.002516*L359)*48888*COS(Q359) - 3149*COS(2*S359)  +246158*COS(2*R359-2*P359) -(1 - 0.002516*L359)*152138*COS(2*R359-Q359-P359) -170733*COS(2*R359+P359) -(1 - 0.002516*L359)*204586*COS(2*R359-Q359) -(1 - 0.002516*L359)*129620*COS(Q359-P359)  + 108743*COS(R359) +(1-0.002516*L359)*104755*COS(Q359+P359) +10321*COS(2*R359-2*S359) +79661*COS(P359-2*S359) -34782*COS(4*R359-P359) -23210*COS(3*P359)  -21636*COS(4*R359-2*P359) +(1 - 0.002516*L359)*24208*COS(2*R359+Q359-P359) +(1 - 0.002516*L359)*30824*COS(2*R359+Q359) -8379*COS(R359-P359) -(1 - 0.002516*L359)*16675*COS(R359+Q359)  -(1 - 0.002516*L359)*12831*COS(2*R359-Q359+P359) -10445*COS(2*R359+2*P359) -11650*COS(4*R359) +14403*COS(2*R359-3*P359) -(1-0.002516*L359)*7003*COS(Q359-2*P359)  + (1 - 0.002516*L359)*10056*COS(2*R359-Q359-2*P359) +6322*COS(R359+P359) -(1 - 0.002516*L359)*(1-0.002516*L359)*9884*COS(2*R359-2*Q359) +(1-0.002516*L359)*5751*COS(Q359+2*P359) - (1-0.002516*L359)^2*4950*COS(2*R359-2*Q359-P359)  +4130*COS(2*R359+P359-2*S359) -(1-0.002516*L359)*3958*COS(4*R359-Q359-P359) +3258*COS(3*R359-P359) +(1 - 0.002516*L359)*2616*COS(2*R359+Q359+P359) -(1 - 0.002516*L359)*1897*COS(4*R359-Q359-2*P359)  -(1-0.002516*L359)^2*2117*COS(2*Q359-P359) +(1-0.002516*L359)^2*2354*COS(2*R359+2*Q359-P359) -1423*COS(4*R359+P359) -1117*COS(4*P359) -(1-0.002516*L359)*1571*COS(4*R359-Q359)  -1739*COS(R359-2*P359) -4421*COS(2*P359-2*S359) +(1-0.002516*L359)^2*1165*COS(2*Q359+P359) +8752*COS(2*R359-P359-2*S359))/1000</f>
        <v>358389.817180072</v>
      </c>
      <c r="AV359" s="54" t="n">
        <f aca="false">ATAN(0.99664719*TAN($A$10*input!$E$2))</f>
        <v>0.871010436227447</v>
      </c>
      <c r="AW359" s="54" t="n">
        <f aca="false">COS(AV359)</f>
        <v>0.644053912545845</v>
      </c>
      <c r="AX359" s="54" t="n">
        <f aca="false">0.99664719*SIN(AV359)</f>
        <v>0.762415269897027</v>
      </c>
      <c r="AY359" s="54" t="n">
        <f aca="false">6378.14/AU359</f>
        <v>0.0177966551901092</v>
      </c>
      <c r="AZ359" s="55" t="n">
        <f aca="false">M359-15*AH359</f>
        <v>-173.973683899923</v>
      </c>
      <c r="BA359" s="56" t="n">
        <f aca="false">COS($A$10*AG359)*SIN($A$10*AZ359)</f>
        <v>-0.0932365451651449</v>
      </c>
      <c r="BB359" s="56" t="n">
        <f aca="false">COS($A$10*AG359)*COS($A$10*AZ359)-AW359*AY359</f>
        <v>-0.894646162231139</v>
      </c>
      <c r="BC359" s="56" t="n">
        <f aca="false">SIN($A$10*AG359)-AX359*AY359</f>
        <v>-0.473234289626686</v>
      </c>
      <c r="BD359" s="57" t="n">
        <f aca="false">SQRT(BA359^2+BB359^2+BC359^2)</f>
        <v>1.01638354071075</v>
      </c>
      <c r="BE359" s="58" t="n">
        <f aca="false">AU359*BD359</f>
        <v>364261.511340158</v>
      </c>
    </row>
    <row r="360" customFormat="false" ht="15" hidden="false" customHeight="false" outlineLevel="0" collapsed="false">
      <c r="D360" s="41" t="n">
        <f aca="false">K360-INT(275*E360/9)+IF($A$8="common year",2,1)*INT((E360+9)/12)+30</f>
        <v>25</v>
      </c>
      <c r="E360" s="41" t="n">
        <f aca="false">IF(K360&lt;32,1,INT(9*(IF($A$8="common year",2,1)+K360)/275+0.98))</f>
        <v>12</v>
      </c>
      <c r="F360" s="42" t="n">
        <f aca="false">AM360</f>
        <v>-65.1232854320425</v>
      </c>
      <c r="G360" s="60" t="n">
        <f aca="false">F360+1.02/(TAN($A$10*(F360+10.3/(F360+5.11)))*60)</f>
        <v>-65.1311063867491</v>
      </c>
      <c r="H360" s="43" t="n">
        <f aca="false">100*(1+COS($A$10*AQ360))/2</f>
        <v>3.90479451335935</v>
      </c>
      <c r="I360" s="43" t="n">
        <f aca="false">IF(AI360&gt;180,AT360-180,AT360+180)</f>
        <v>338.874248847491</v>
      </c>
      <c r="J360" s="61" t="n">
        <f aca="false">$J$2+K359</f>
        <v>2459938.5</v>
      </c>
      <c r="K360" s="21" t="n">
        <v>359</v>
      </c>
      <c r="L360" s="62" t="n">
        <f aca="false">(J360-2451545)/36525</f>
        <v>0.229801505817933</v>
      </c>
      <c r="M360" s="63" t="n">
        <f aca="false">MOD(280.46061837+360.98564736629*(J360-2451545)+0.000387933*L360^2-L360^3/38710000+$B$7,360)</f>
        <v>108.491807810962</v>
      </c>
      <c r="N360" s="30" t="n">
        <f aca="false">0.606433+1336.855225*L360 - INT(0.606433+1336.855225*L360)</f>
        <v>0.817776765571523</v>
      </c>
      <c r="O360" s="35" t="n">
        <f aca="false">22640*SIN(P360)-4586*SIN(P360-2*R360)+2370*SIN(2*R360)+769*SIN(2*P360)-668*SIN(Q360)-412*SIN(2*S360)-212*SIN(2*P360-2*R360)-206*SIN(P360+Q360-2*R360)+192*SIN(P360+2*R360)-165*SIN(Q360-2*R360)-125*SIN(R360)-110*SIN(P360+Q360)+148*SIN(P360-Q360)-55*SIN(2*S360-2*R360)</f>
        <v>3591.3328963472</v>
      </c>
      <c r="P360" s="32" t="n">
        <f aca="false">2*PI()*(0.374897+1325.55241*L360 - INT(0.374897+1325.55241*L360))</f>
        <v>6.21304522109025</v>
      </c>
      <c r="Q360" s="36" t="n">
        <f aca="false">2*PI()*(0.993133+99.997361*L360 - INT(0.993133+99.997361*L360))</f>
        <v>6.11151068715358</v>
      </c>
      <c r="R360" s="36" t="n">
        <f aca="false">2*PI()*(0.827361+1236.853086*L360 - INT(0.827361+1236.853086*L360))</f>
        <v>0.364818316222931</v>
      </c>
      <c r="S360" s="36" t="n">
        <f aca="false">2*PI()*(0.259086+1342.227825*L360 - INT(0.259086+1342.227825*L360))</f>
        <v>4.43003102531286</v>
      </c>
      <c r="T360" s="36" t="n">
        <f aca="false">S360+(O360+412*SIN(2*S360)+541*SIN(Q360))/206264.8062</f>
        <v>4.4480632092104</v>
      </c>
      <c r="U360" s="36" t="n">
        <f aca="false">S360-2*R360</f>
        <v>3.700394392867</v>
      </c>
      <c r="V360" s="34" t="n">
        <f aca="false">-526*SIN(U360)+44*SIN(P360+U360)-31*SIN(-P360+U360)-23*SIN(Q360+U360)+11*SIN(-Q360+U360)-25*SIN(-2*P360+S360)+21*SIN(-P360+S360)</f>
        <v>282.014057691327</v>
      </c>
      <c r="W360" s="36" t="n">
        <f aca="false">2*PI()*(N360+O360/1296000-INT(N360+O360/1296000))</f>
        <v>5.15565423120752</v>
      </c>
      <c r="X360" s="35" t="n">
        <f aca="false">W360*180/PI()</f>
        <v>295.397228076956</v>
      </c>
      <c r="Y360" s="36" t="n">
        <f aca="false">(18520*SIN(T360)+V360)/206264.8062</f>
        <v>-0.0853018297554169</v>
      </c>
      <c r="Z360" s="36" t="n">
        <f aca="false">Y360*180/PI()</f>
        <v>-4.88743482972885</v>
      </c>
      <c r="AA360" s="36" t="n">
        <f aca="false">COS(Y360)*COS(W360)</f>
        <v>0.427331982953613</v>
      </c>
      <c r="AB360" s="36" t="n">
        <f aca="false">COS(Y360)*SIN(W360)</f>
        <v>-0.900071444801923</v>
      </c>
      <c r="AC360" s="36" t="n">
        <f aca="false">SIN(Y360)</f>
        <v>-0.0851984189824643</v>
      </c>
      <c r="AD360" s="36" t="n">
        <f aca="false">COS($A$10*(23.4393-46.815*L360/3600))*AB360-SIN($A$10*(23.4393-46.815*L360/3600))*AC360</f>
        <v>-0.791932102328366</v>
      </c>
      <c r="AE360" s="36" t="n">
        <f aca="false">SIN($A$10*(23.4393-46.815*L360/3600))*AB360+COS($A$10*(23.4393-46.815*L360/3600))*AC360</f>
        <v>-0.43615469921429</v>
      </c>
      <c r="AF360" s="36" t="n">
        <f aca="false">SQRT(1-AE360*AE360)</f>
        <v>0.899871701051485</v>
      </c>
      <c r="AG360" s="35" t="n">
        <f aca="false">ATAN(AE360/AF360)/$A$10</f>
        <v>-25.8587919657058</v>
      </c>
      <c r="AH360" s="36" t="n">
        <f aca="false">IF(24*ATAN(AD360/(AA360+AF360))/PI()&gt;0,24*ATAN(AD360/(AA360+AF360))/PI(),24*ATAN(AD360/(AA360+AF360))/PI()+24)</f>
        <v>19.8901068623097</v>
      </c>
      <c r="AI360" s="63" t="n">
        <f aca="false">IF(M360-15*AH360&gt;0,M360-15*AH360,360+M360-15*AH360)</f>
        <v>170.140204876317</v>
      </c>
      <c r="AJ360" s="32" t="n">
        <f aca="false">0.950724+0.051818*COS(P360)+0.009531*COS(2*R360-P360)+0.007843*COS(2*R360)+0.002824*COS(2*P360)+0.000857*COS(2*R360+P360)+0.000533*COS(2*R360-Q360)*(1-0.002495*(J360-2415020)/36525)+0.000401*COS(2*R360-Q360-P360)*(1-0.002495*(J360-2415020)/36525)+0.00032*COS(P360-Q360)*(1-0.002495*(J360-2415020)/36525)-0.000271*COS(R360)</f>
        <v>1.01899575397444</v>
      </c>
      <c r="AK360" s="36" t="n">
        <f aca="false">ASIN(COS($A$10*$B$5)*COS($A$10*AG360)*COS($A$10*AI360)+SIN($A$10*$B$5)*SIN($A$10*AG360))/$A$10</f>
        <v>-64.6884990571531</v>
      </c>
      <c r="AL360" s="32" t="n">
        <f aca="false">ASIN((0.9983271+0.0016764*COS($A$10*2*$B$5))*COS($A$10*AK360)*SIN($A$10*AJ360))/$A$10</f>
        <v>0.4347863748894</v>
      </c>
      <c r="AM360" s="32" t="n">
        <f aca="false">AK360-AL360</f>
        <v>-65.1232854320425</v>
      </c>
      <c r="AN360" s="35" t="n">
        <f aca="false"> MOD(280.4664567 + 360007.6982779*L360/10 + 0.03032028*L360^2/100 + L360^3/49931000,360)</f>
        <v>273.497589742947</v>
      </c>
      <c r="AO360" s="32" t="n">
        <f aca="false"> AN360 + (1.9146 - 0.004817*L360 - 0.000014*L360^2)*SIN(Q360)+ (0.019993 - 0.000101*L360)*SIN(2*Q360)+ 0.00029*SIN(3*Q360)</f>
        <v>273.163837368481</v>
      </c>
      <c r="AP360" s="32" t="n">
        <f aca="false">ACOS(COS(W360-$A$10*AO360)*COS(Y360))/$A$10</f>
        <v>22.7376106890037</v>
      </c>
      <c r="AQ360" s="34" t="n">
        <f aca="false">180 - AP360 -0.1468*(1-0.0549*SIN(Q360))*SIN($A$10*AP360)/(1-0.0167*SIN($A$10*AO360))</f>
        <v>157.206056592285</v>
      </c>
      <c r="AR360" s="64" t="n">
        <f aca="false">SIN($A$10*AI360)</f>
        <v>0.1712377994377</v>
      </c>
      <c r="AS360" s="64" t="n">
        <f aca="false">COS($A$10*AI360)*SIN($A$10*$B$5) - TAN($A$10*AG360)*COS($A$10*$B$5)</f>
        <v>-0.443179971237376</v>
      </c>
      <c r="AT360" s="24" t="n">
        <f aca="false">IF(OR(AND(AR360*AS360&gt;0), AND(AR360&lt;0,AS360&gt;0)), MOD(ATAN2(AS360,AR360)/$A$10+360,360),  ATAN2(AS360,AR360)/$A$10)</f>
        <v>158.874248847491</v>
      </c>
      <c r="AU360" s="39" t="n">
        <f aca="false"> 385000.56 + (-20905355*COS(P360) - 3699111*COS(2*R360-P360) - 2955968*COS(2*R360) - 569925*COS(2*P360) + (1-0.002516*L360)*48888*COS(Q360) - 3149*COS(2*S360)  +246158*COS(2*R360-2*P360) -(1 - 0.002516*L360)*152138*COS(2*R360-Q360-P360) -170733*COS(2*R360+P360) -(1 - 0.002516*L360)*204586*COS(2*R360-Q360) -(1 - 0.002516*L360)*129620*COS(Q360-P360)  + 108743*COS(R360) +(1-0.002516*L360)*104755*COS(Q360+P360) +10321*COS(2*R360-2*S360) +79661*COS(P360-2*S360) -34782*COS(4*R360-P360) -23210*COS(3*P360)  -21636*COS(4*R360-2*P360) +(1 - 0.002516*L360)*24208*COS(2*R360+Q360-P360) +(1 - 0.002516*L360)*30824*COS(2*R360+Q360) -8379*COS(R360-P360) -(1 - 0.002516*L360)*16675*COS(R360+Q360)  -(1 - 0.002516*L360)*12831*COS(2*R360-Q360+P360) -10445*COS(2*R360+2*P360) -11650*COS(4*R360) +14403*COS(2*R360-3*P360) -(1-0.002516*L360)*7003*COS(Q360-2*P360)  + (1 - 0.002516*L360)*10056*COS(2*R360-Q360-2*P360) +6322*COS(R360+P360) -(1 - 0.002516*L360)*(1-0.002516*L360)*9884*COS(2*R360-2*Q360) +(1-0.002516*L360)*5751*COS(Q360+2*P360) - (1-0.002516*L360)^2*4950*COS(2*R360-2*Q360-P360)  +4130*COS(2*R360+P360-2*S360) -(1-0.002516*L360)*3958*COS(4*R360-Q360-P360) +3258*COS(3*R360-P360) +(1 - 0.002516*L360)*2616*COS(2*R360+Q360+P360) -(1 - 0.002516*L360)*1897*COS(4*R360-Q360-2*P360)  -(1-0.002516*L360)^2*2117*COS(2*Q360-P360) +(1-0.002516*L360)^2*2354*COS(2*R360+2*Q360-P360) -1423*COS(4*R360+P360) -1117*COS(4*P360) -(1-0.002516*L360)*1571*COS(4*R360-Q360)  -1739*COS(R360-2*P360) -4421*COS(2*P360-2*S360) +(1-0.002516*L360)^2*1165*COS(2*Q360+P360) +8752*COS(2*R360-P360-2*S360))/1000</f>
        <v>358659.094250252</v>
      </c>
      <c r="AV360" s="54" t="n">
        <f aca="false">ATAN(0.99664719*TAN($A$10*input!$E$2))</f>
        <v>0.871010436227447</v>
      </c>
      <c r="AW360" s="54" t="n">
        <f aca="false">COS(AV360)</f>
        <v>0.644053912545845</v>
      </c>
      <c r="AX360" s="54" t="n">
        <f aca="false">0.99664719*SIN(AV360)</f>
        <v>0.762415269897027</v>
      </c>
      <c r="AY360" s="54" t="n">
        <f aca="false">6378.14/AU360</f>
        <v>0.0177832936686939</v>
      </c>
      <c r="AZ360" s="55" t="n">
        <f aca="false">M360-15*AH360</f>
        <v>-189.859795123683</v>
      </c>
      <c r="BA360" s="56" t="n">
        <f aca="false">COS($A$10*AG360)*SIN($A$10*AZ360)</f>
        <v>0.154092049864317</v>
      </c>
      <c r="BB360" s="56" t="n">
        <f aca="false">COS($A$10*AG360)*COS($A$10*AZ360)-AW360*AY360</f>
        <v>-0.898033750720122</v>
      </c>
      <c r="BC360" s="56" t="n">
        <f aca="false">SIN($A$10*AG360)-AX360*AY360</f>
        <v>-0.449712953856365</v>
      </c>
      <c r="BD360" s="57" t="n">
        <f aca="false">SQRT(BA360^2+BB360^2+BC360^2)</f>
        <v>1.01609582133284</v>
      </c>
      <c r="BE360" s="58" t="n">
        <f aca="false">AU360*BD360</f>
        <v>364432.006950702</v>
      </c>
    </row>
    <row r="361" customFormat="false" ht="15" hidden="false" customHeight="false" outlineLevel="0" collapsed="false">
      <c r="D361" s="41" t="n">
        <f aca="false">K361-INT(275*E361/9)+IF($A$8="common year",2,1)*INT((E361+9)/12)+30</f>
        <v>26</v>
      </c>
      <c r="E361" s="41" t="n">
        <f aca="false">IF(K361&lt;32,1,INT(9*(IF($A$8="common year",2,1)+K361)/275+0.98))</f>
        <v>12</v>
      </c>
      <c r="F361" s="42" t="n">
        <f aca="false">AM361</f>
        <v>-56.8264289633006</v>
      </c>
      <c r="G361" s="60" t="n">
        <f aca="false">F361+1.02/(TAN($A$10*(F361+10.3/(F361+5.11)))*60)</f>
        <v>-56.8374580999003</v>
      </c>
      <c r="H361" s="43" t="n">
        <f aca="false">100*(1+COS($A$10*AQ361))/2</f>
        <v>9.91259819612442</v>
      </c>
      <c r="I361" s="43" t="n">
        <f aca="false">IF(AI361&gt;180,AT361-180,AT361+180)</f>
        <v>315.422080343662</v>
      </c>
      <c r="J361" s="61" t="n">
        <f aca="false">$J$2+K360</f>
        <v>2459939.5</v>
      </c>
      <c r="K361" s="21" t="n">
        <v>360</v>
      </c>
      <c r="L361" s="62" t="n">
        <f aca="false">(J361-2451545)/36525</f>
        <v>0.229828884325804</v>
      </c>
      <c r="M361" s="63" t="n">
        <f aca="false">MOD(280.46061837+360.98564736629*(J361-2451545)+0.000387933*L361^2-L361^3/38710000+$B$7,360)</f>
        <v>109.477455182001</v>
      </c>
      <c r="N361" s="30" t="n">
        <f aca="false">0.606433+1336.855225*L361 - INT(0.606433+1336.855225*L361)</f>
        <v>0.854377866872028</v>
      </c>
      <c r="O361" s="35" t="n">
        <f aca="false">22640*SIN(P361)-4586*SIN(P361-2*R361)+2370*SIN(2*R361)+769*SIN(2*P361)-668*SIN(Q361)-412*SIN(2*S361)-212*SIN(2*P361-2*R361)-206*SIN(P361+Q361-2*R361)+192*SIN(P361+2*R361)-165*SIN(Q361-2*R361)-125*SIN(R361)-110*SIN(P361+Q361)+148*SIN(P361-Q361)-55*SIN(2*S361-2*R361)</f>
        <v>10495.0151821266</v>
      </c>
      <c r="P361" s="32" t="n">
        <f aca="false">2*PI()*(0.374897+1325.55241*L361 - INT(0.374897+1325.55241*L361))</f>
        <v>0.157887057686482</v>
      </c>
      <c r="Q361" s="36" t="n">
        <f aca="false">2*PI()*(0.993133+99.997361*L361 - INT(0.993133+99.997361*L361))</f>
        <v>6.12871265702059</v>
      </c>
      <c r="R361" s="36" t="n">
        <f aca="false">2*PI()*(0.827361+1236.853086*L361 - INT(0.827361+1236.853086*L361))</f>
        <v>0.577587026341598</v>
      </c>
      <c r="S361" s="36" t="n">
        <f aca="false">2*PI()*(0.259086+1342.227825*L361 - INT(0.259086+1342.227825*L361))</f>
        <v>4.66092674465351</v>
      </c>
      <c r="T361" s="36" t="n">
        <f aca="false">S361+(O361+412*SIN(2*S361)+541*SIN(Q361))/206264.8062</f>
        <v>4.71160968800926</v>
      </c>
      <c r="U361" s="36" t="n">
        <f aca="false">S361-2*R361</f>
        <v>3.50575269197031</v>
      </c>
      <c r="V361" s="34" t="n">
        <f aca="false">-526*SIN(U361)+44*SIN(P361+U361)-31*SIN(-P361+U361)-23*SIN(Q361+U361)+11*SIN(-Q361+U361)-25*SIN(-2*P361+S361)+21*SIN(-P361+S361)</f>
        <v>173.877421576155</v>
      </c>
      <c r="W361" s="36" t="n">
        <f aca="false">2*PI()*(N361+O361/1296000-INT(N361+O361/1296000))</f>
        <v>5.41909572934724</v>
      </c>
      <c r="X361" s="35" t="n">
        <f aca="false">W361*180/PI()</f>
        <v>310.491314068965</v>
      </c>
      <c r="Y361" s="36" t="n">
        <f aca="false">(18520*SIN(T361)+V361)/206264.8062</f>
        <v>-0.0889444849698143</v>
      </c>
      <c r="Z361" s="36" t="n">
        <f aca="false">Y361*180/PI()</f>
        <v>-5.09614359973514</v>
      </c>
      <c r="AA361" s="36" t="n">
        <f aca="false">COS(Y361)*COS(W361)</f>
        <v>0.646765982450987</v>
      </c>
      <c r="AB361" s="36" t="n">
        <f aca="false">COS(Y361)*SIN(W361)</f>
        <v>-0.757498173259763</v>
      </c>
      <c r="AC361" s="36" t="n">
        <f aca="false">SIN(Y361)</f>
        <v>-0.0888272562467832</v>
      </c>
      <c r="AD361" s="36" t="n">
        <f aca="false">COS($A$10*(23.4393-46.815*L361/3600))*AB361-SIN($A$10*(23.4393-46.815*L361/3600))*AC361</f>
        <v>-0.659677441132802</v>
      </c>
      <c r="AE361" s="36" t="n">
        <f aca="false">SIN($A$10*(23.4393-46.815*L361/3600))*AB361+COS($A$10*(23.4393-46.815*L361/3600))*AC361</f>
        <v>-0.38277857516414</v>
      </c>
      <c r="AF361" s="36" t="n">
        <f aca="false">SQRT(1-AE361*AE361)</f>
        <v>0.92384011733379</v>
      </c>
      <c r="AG361" s="35" t="n">
        <f aca="false">ATAN(AE361/AF361)/$A$10</f>
        <v>-22.5059005497206</v>
      </c>
      <c r="AH361" s="36" t="n">
        <f aca="false">IF(24*ATAN(AD361/(AA361+AF361))/PI()&gt;0,24*ATAN(AD361/(AA361+AF361))/PI(),24*ATAN(AD361/(AA361+AF361))/PI()+24)</f>
        <v>20.9622513054443</v>
      </c>
      <c r="AI361" s="63" t="n">
        <f aca="false">IF(M361-15*AH361&gt;0,M361-15*AH361,360+M361-15*AH361)</f>
        <v>155.043685600337</v>
      </c>
      <c r="AJ361" s="32" t="n">
        <f aca="false">0.950724+0.051818*COS(P361)+0.009531*COS(2*R361-P361)+0.007843*COS(2*R361)+0.002824*COS(2*P361)+0.000857*COS(2*R361+P361)+0.000533*COS(2*R361-Q361)*(1-0.002495*(J361-2415020)/36525)+0.000401*COS(2*R361-Q361-P361)*(1-0.002495*(J361-2415020)/36525)+0.00032*COS(P361-Q361)*(1-0.002495*(J361-2415020)/36525)-0.000271*COS(R361)</f>
        <v>1.01351472464568</v>
      </c>
      <c r="AK361" s="36" t="n">
        <f aca="false">ASIN(COS($A$10*$B$5)*COS($A$10*AG361)*COS($A$10*AI361)+SIN($A$10*$B$5)*SIN($A$10*AG361))/$A$10</f>
        <v>-56.2646922241718</v>
      </c>
      <c r="AL361" s="32" t="n">
        <f aca="false">ASIN((0.9983271+0.0016764*COS($A$10*2*$B$5))*COS($A$10*AK361)*SIN($A$10*AJ361))/$A$10</f>
        <v>0.561736739128835</v>
      </c>
      <c r="AM361" s="32" t="n">
        <f aca="false">AK361-AL361</f>
        <v>-56.8264289633006</v>
      </c>
      <c r="AN361" s="35" t="n">
        <f aca="false"> MOD(280.4664567 + 360007.6982779*L361/10 + 0.03032028*L361^2/100 + L361^3/49931000,360)</f>
        <v>274.483237106866</v>
      </c>
      <c r="AO361" s="32" t="n">
        <f aca="false"> AN361 + (1.9146 - 0.004817*L361 - 0.000014*L361^2)*SIN(Q361)+ (0.019993 - 0.000101*L361)*SIN(2*Q361)+ 0.00029*SIN(3*Q361)</f>
        <v>274.182627491543</v>
      </c>
      <c r="AP361" s="32" t="n">
        <f aca="false">ACOS(COS(W361-$A$10*AO361)*COS(Y361))/$A$10</f>
        <v>36.61579544317</v>
      </c>
      <c r="AQ361" s="34" t="n">
        <f aca="false">180 - AP361 -0.1468*(1-0.0549*SIN(Q361))*SIN($A$10*AP361)/(1-0.0167*SIN($A$10*AO361))</f>
        <v>143.297353219826</v>
      </c>
      <c r="AR361" s="64" t="n">
        <f aca="false">SIN($A$10*AI361)</f>
        <v>0.421927117739533</v>
      </c>
      <c r="AS361" s="64" t="n">
        <f aca="false">COS($A$10*AI361)*SIN($A$10*$B$5) - TAN($A$10*AG361)*COS($A$10*$B$5)</f>
        <v>-0.428189780127305</v>
      </c>
      <c r="AT361" s="24" t="n">
        <f aca="false">IF(OR(AND(AR361*AS361&gt;0), AND(AR361&lt;0,AS361&gt;0)), MOD(ATAN2(AS361,AR361)/$A$10+360,360),  ATAN2(AS361,AR361)/$A$10)</f>
        <v>135.422080343662</v>
      </c>
      <c r="AU361" s="39" t="n">
        <f aca="false"> 385000.56 + (-20905355*COS(P361) - 3699111*COS(2*R361-P361) - 2955968*COS(2*R361) - 569925*COS(2*P361) + (1-0.002516*L361)*48888*COS(Q361) - 3149*COS(2*S361)  +246158*COS(2*R361-2*P361) -(1 - 0.002516*L361)*152138*COS(2*R361-Q361-P361) -170733*COS(2*R361+P361) -(1 - 0.002516*L361)*204586*COS(2*R361-Q361) -(1 - 0.002516*L361)*129620*COS(Q361-P361)  + 108743*COS(R361) +(1-0.002516*L361)*104755*COS(Q361+P361) +10321*COS(2*R361-2*S361) +79661*COS(P361-2*S361) -34782*COS(4*R361-P361) -23210*COS(3*P361)  -21636*COS(4*R361-2*P361) +(1 - 0.002516*L361)*24208*COS(2*R361+Q361-P361) +(1 - 0.002516*L361)*30824*COS(2*R361+Q361) -8379*COS(R361-P361) -(1 - 0.002516*L361)*16675*COS(R361+Q361)  -(1 - 0.002516*L361)*12831*COS(2*R361-Q361+P361) -10445*COS(2*R361+2*P361) -11650*COS(4*R361) +14403*COS(2*R361-3*P361) -(1-0.002516*L361)*7003*COS(Q361-2*P361)  + (1 - 0.002516*L361)*10056*COS(2*R361-Q361-2*P361) +6322*COS(R361+P361) -(1 - 0.002516*L361)*(1-0.002516*L361)*9884*COS(2*R361-2*Q361) +(1-0.002516*L361)*5751*COS(Q361+2*P361) - (1-0.002516*L361)^2*4950*COS(2*R361-2*Q361-P361)  +4130*COS(2*R361+P361-2*S361) -(1-0.002516*L361)*3958*COS(4*R361-Q361-P361) +3258*COS(3*R361-P361) +(1 - 0.002516*L361)*2616*COS(2*R361+Q361+P361) -(1 - 0.002516*L361)*1897*COS(4*R361-Q361-2*P361)  -(1-0.002516*L361)^2*2117*COS(2*Q361-P361) +(1-0.002516*L361)^2*2354*COS(2*R361+2*Q361-P361) -1423*COS(4*R361+P361) -1117*COS(4*P361) -(1-0.002516*L361)*1571*COS(4*R361-Q361)  -1739*COS(R361-2*P361) -4421*COS(2*P361-2*S361) +(1-0.002516*L361)^2*1165*COS(2*Q361+P361) +8752*COS(2*R361-P361-2*S361))/1000</f>
        <v>360709.090511379</v>
      </c>
      <c r="AV361" s="54" t="n">
        <f aca="false">ATAN(0.99664719*TAN($A$10*input!$E$2))</f>
        <v>0.871010436227447</v>
      </c>
      <c r="AW361" s="54" t="n">
        <f aca="false">COS(AV361)</f>
        <v>0.644053912545845</v>
      </c>
      <c r="AX361" s="54" t="n">
        <f aca="false">0.99664719*SIN(AV361)</f>
        <v>0.762415269897027</v>
      </c>
      <c r="AY361" s="54" t="n">
        <f aca="false">6378.14/AU361</f>
        <v>0.0176822269462566</v>
      </c>
      <c r="AZ361" s="55" t="n">
        <f aca="false">M361-15*AH361</f>
        <v>-204.956314399663</v>
      </c>
      <c r="BA361" s="56" t="n">
        <f aca="false">COS($A$10*AG361)*SIN($A$10*AZ361)</f>
        <v>0.389793197958799</v>
      </c>
      <c r="BB361" s="56" t="n">
        <f aca="false">COS($A$10*AG361)*COS($A$10*AZ361)-AW361*AY361</f>
        <v>-0.84896924396645</v>
      </c>
      <c r="BC361" s="56" t="n">
        <f aca="false">SIN($A$10*AG361)-AX361*AY361</f>
        <v>-0.39625977499375</v>
      </c>
      <c r="BD361" s="57" t="n">
        <f aca="false">SQRT(BA361^2+BB361^2+BC361^2)</f>
        <v>1.01474594044717</v>
      </c>
      <c r="BE361" s="58" t="n">
        <f aca="false">AU361*BD361</f>
        <v>366028.085278813</v>
      </c>
    </row>
    <row r="362" customFormat="false" ht="15" hidden="false" customHeight="false" outlineLevel="0" collapsed="false">
      <c r="D362" s="41" t="n">
        <f aca="false">K362-INT(275*E362/9)+IF($A$8="common year",2,1)*INT((E362+9)/12)+30</f>
        <v>27</v>
      </c>
      <c r="E362" s="41" t="n">
        <f aca="false">IF(K362&lt;32,1,INT(9*(IF($A$8="common year",2,1)+K362)/275+0.98))</f>
        <v>12</v>
      </c>
      <c r="F362" s="42" t="n">
        <f aca="false">AM362</f>
        <v>-45.9271739339013</v>
      </c>
      <c r="G362" s="60" t="n">
        <f aca="false">F362+1.02/(TAN($A$10*(F362+10.3/(F362+5.11)))*60)</f>
        <v>-45.9434880171321</v>
      </c>
      <c r="H362" s="43" t="n">
        <f aca="false">100*(1+COS($A$10*AQ362))/2</f>
        <v>18.1512019481118</v>
      </c>
      <c r="I362" s="43" t="n">
        <f aca="false">IF(AI362&gt;180,AT362-180,AT362+180)</f>
        <v>301.884399929406</v>
      </c>
      <c r="J362" s="61" t="n">
        <f aca="false">$J$2+K361</f>
        <v>2459940.5</v>
      </c>
      <c r="K362" s="21" t="n">
        <v>361</v>
      </c>
      <c r="L362" s="62" t="n">
        <f aca="false">(J362-2451545)/36525</f>
        <v>0.229856262833676</v>
      </c>
      <c r="M362" s="63" t="n">
        <f aca="false">MOD(280.46061837+360.98564736629*(J362-2451545)+0.000387933*L362^2-L362^3/38710000+$B$7,360)</f>
        <v>110.463102553505</v>
      </c>
      <c r="N362" s="30" t="n">
        <f aca="false">0.606433+1336.855225*L362 - INT(0.606433+1336.855225*L362)</f>
        <v>0.890978968172476</v>
      </c>
      <c r="O362" s="35" t="n">
        <f aca="false">22640*SIN(P362)-4586*SIN(P362-2*R362)+2370*SIN(2*R362)+769*SIN(2*P362)-668*SIN(Q362)-412*SIN(2*S362)-212*SIN(2*P362-2*R362)-206*SIN(P362+Q362-2*R362)+192*SIN(P362+2*R362)-165*SIN(Q362-2*R362)-125*SIN(R362)-110*SIN(P362+Q362)+148*SIN(P362-Q362)-55*SIN(2*S362-2*R362)</f>
        <v>16530.0741901702</v>
      </c>
      <c r="P362" s="32" t="n">
        <f aca="false">2*PI()*(0.374897+1325.55241*L362 - INT(0.374897+1325.55241*L362))</f>
        <v>0.385914201461943</v>
      </c>
      <c r="Q362" s="36" t="n">
        <f aca="false">2*PI()*(0.993133+99.997361*L362 - INT(0.993133+99.997361*L362))</f>
        <v>6.14591462688755</v>
      </c>
      <c r="R362" s="36" t="n">
        <f aca="false">2*PI()*(0.827361+1236.853086*L362 - INT(0.827361+1236.853086*L362))</f>
        <v>0.790355736460623</v>
      </c>
      <c r="S362" s="36" t="n">
        <f aca="false">2*PI()*(0.259086+1342.227825*L362 - INT(0.259086+1342.227825*L362))</f>
        <v>4.89182246399451</v>
      </c>
      <c r="T362" s="36" t="n">
        <f aca="false">S362+(O362+412*SIN(2*S362)+541*SIN(Q362))/206264.8062</f>
        <v>4.97090209010611</v>
      </c>
      <c r="U362" s="36" t="n">
        <f aca="false">S362-2*R362</f>
        <v>3.31111099107327</v>
      </c>
      <c r="V362" s="34" t="n">
        <f aca="false">-526*SIN(U362)+44*SIN(P362+U362)-31*SIN(-P362+U362)-23*SIN(Q362+U362)+11*SIN(-Q362+U362)-25*SIN(-2*P362+S362)+21*SIN(-P362+S362)</f>
        <v>56.4882807834035</v>
      </c>
      <c r="W362" s="36" t="n">
        <f aca="false">2*PI()*(N362+O362/1296000-INT(N362+O362/1296000))</f>
        <v>5.67832602299883</v>
      </c>
      <c r="X362" s="35" t="n">
        <f aca="false">W362*180/PI()</f>
        <v>325.344115817139</v>
      </c>
      <c r="Y362" s="36" t="n">
        <f aca="false">(18520*SIN(T362)+V362)/206264.8062</f>
        <v>-0.0865300966111065</v>
      </c>
      <c r="Z362" s="36" t="n">
        <f aca="false">Y362*180/PI()</f>
        <v>-4.95780933667567</v>
      </c>
      <c r="AA362" s="36" t="n">
        <f aca="false">COS(Y362)*COS(W362)</f>
        <v>0.819504519921568</v>
      </c>
      <c r="AB362" s="36" t="n">
        <f aca="false">COS(Y362)*SIN(W362)</f>
        <v>-0.566518801897177</v>
      </c>
      <c r="AC362" s="36" t="n">
        <f aca="false">SIN(Y362)</f>
        <v>-0.0864221552908035</v>
      </c>
      <c r="AD362" s="36" t="n">
        <f aca="false">COS($A$10*(23.4393-46.815*L362/3600))*AB362-SIN($A$10*(23.4393-46.815*L362/3600))*AC362</f>
        <v>-0.485409924355118</v>
      </c>
      <c r="AE362" s="36" t="n">
        <f aca="false">SIN($A$10*(23.4393-46.815*L362/3600))*AB362+COS($A$10*(23.4393-46.815*L362/3600))*AC362</f>
        <v>-0.304613767196559</v>
      </c>
      <c r="AF362" s="36" t="n">
        <f aca="false">SQRT(1-AE362*AE362)</f>
        <v>0.95247595918969</v>
      </c>
      <c r="AG362" s="35" t="n">
        <f aca="false">ATAN(AE362/AF362)/$A$10</f>
        <v>-17.7349287318933</v>
      </c>
      <c r="AH362" s="36" t="n">
        <f aca="false">IF(24*ATAN(AD362/(AA362+AF362))/PI()&gt;0,24*ATAN(AD362/(AA362+AF362))/PI(),24*ATAN(AD362/(AA362+AF362))/PI()+24)</f>
        <v>21.9573893670249</v>
      </c>
      <c r="AI362" s="63" t="n">
        <f aca="false">IF(M362-15*AH362&gt;0,M362-15*AH362,360+M362-15*AH362)</f>
        <v>141.102262048133</v>
      </c>
      <c r="AJ362" s="32" t="n">
        <f aca="false">0.950724+0.051818*COS(P362)+0.009531*COS(2*R362-P362)+0.007843*COS(2*R362)+0.002824*COS(2*P362)+0.000857*COS(2*R362+P362)+0.000533*COS(2*R362-Q362)*(1-0.002495*(J362-2415020)/36525)+0.000401*COS(2*R362-Q362-P362)*(1-0.002495*(J362-2415020)/36525)+0.00032*COS(P362-Q362)*(1-0.002495*(J362-2415020)/36525)-0.000271*COS(R362)</f>
        <v>1.00394868962216</v>
      </c>
      <c r="AK362" s="36" t="n">
        <f aca="false">ASIN(COS($A$10*$B$5)*COS($A$10*AG362)*COS($A$10*AI362)+SIN($A$10*$B$5)*SIN($A$10*AG362))/$A$10</f>
        <v>-45.2214309617507</v>
      </c>
      <c r="AL362" s="32" t="n">
        <f aca="false">ASIN((0.9983271+0.0016764*COS($A$10*2*$B$5))*COS($A$10*AK362)*SIN($A$10*AJ362))/$A$10</f>
        <v>0.705742972150625</v>
      </c>
      <c r="AM362" s="32" t="n">
        <f aca="false">AK362-AL362</f>
        <v>-45.9271739339013</v>
      </c>
      <c r="AN362" s="35" t="n">
        <f aca="false"> MOD(280.4664567 + 360007.6982779*L362/10 + 0.03032028*L362^2/100 + L362^3/49931000,360)</f>
        <v>275.468884470785</v>
      </c>
      <c r="AO362" s="32" t="n">
        <f aca="false"> AN362 + (1.9146 - 0.004817*L362 - 0.000014*L362^2)*SIN(Q362)+ (0.019993 - 0.000101*L362)*SIN(2*Q362)+ 0.00029*SIN(3*Q362)</f>
        <v>275.201512256757</v>
      </c>
      <c r="AP362" s="32" t="n">
        <f aca="false">ACOS(COS(W362-$A$10*AO362)*COS(Y362))/$A$10</f>
        <v>50.3213382829782</v>
      </c>
      <c r="AQ362" s="34" t="n">
        <f aca="false">180 - AP362 -0.1468*(1-0.0549*SIN(Q362))*SIN($A$10*AP362)/(1-0.0167*SIN($A$10*AO362))</f>
        <v>129.566692351096</v>
      </c>
      <c r="AR362" s="64" t="n">
        <f aca="false">SIN($A$10*AI362)</f>
        <v>0.627932331974325</v>
      </c>
      <c r="AS362" s="64" t="n">
        <f aca="false">COS($A$10*AI362)*SIN($A$10*$B$5) - TAN($A$10*AG362)*COS($A$10*$B$5)</f>
        <v>-0.390616284881925</v>
      </c>
      <c r="AT362" s="24" t="n">
        <f aca="false">IF(OR(AND(AR362*AS362&gt;0), AND(AR362&lt;0,AS362&gt;0)), MOD(ATAN2(AS362,AR362)/$A$10+360,360),  ATAN2(AS362,AR362)/$A$10)</f>
        <v>121.884399929406</v>
      </c>
      <c r="AU362" s="39" t="n">
        <f aca="false"> 385000.56 + (-20905355*COS(P362) - 3699111*COS(2*R362-P362) - 2955968*COS(2*R362) - 569925*COS(2*P362) + (1-0.002516*L362)*48888*COS(Q362) - 3149*COS(2*S362)  +246158*COS(2*R362-2*P362) -(1 - 0.002516*L362)*152138*COS(2*R362-Q362-P362) -170733*COS(2*R362+P362) -(1 - 0.002516*L362)*204586*COS(2*R362-Q362) -(1 - 0.002516*L362)*129620*COS(Q362-P362)  + 108743*COS(R362) +(1-0.002516*L362)*104755*COS(Q362+P362) +10321*COS(2*R362-2*S362) +79661*COS(P362-2*S362) -34782*COS(4*R362-P362) -23210*COS(3*P362)  -21636*COS(4*R362-2*P362) +(1 - 0.002516*L362)*24208*COS(2*R362+Q362-P362) +(1 - 0.002516*L362)*30824*COS(2*R362+Q362) -8379*COS(R362-P362) -(1 - 0.002516*L362)*16675*COS(R362+Q362)  -(1 - 0.002516*L362)*12831*COS(2*R362-Q362+P362) -10445*COS(2*R362+2*P362) -11650*COS(4*R362) +14403*COS(2*R362-3*P362) -(1-0.002516*L362)*7003*COS(Q362-2*P362)  + (1 - 0.002516*L362)*10056*COS(2*R362-Q362-2*P362) +6322*COS(R362+P362) -(1 - 0.002516*L362)*(1-0.002516*L362)*9884*COS(2*R362-2*Q362) +(1-0.002516*L362)*5751*COS(Q362+2*P362) - (1-0.002516*L362)^2*4950*COS(2*R362-2*Q362-P362)  +4130*COS(2*R362+P362-2*S362) -(1-0.002516*L362)*3958*COS(4*R362-Q362-P362) +3258*COS(3*R362-P362) +(1 - 0.002516*L362)*2616*COS(2*R362+Q362+P362) -(1 - 0.002516*L362)*1897*COS(4*R362-Q362-2*P362)  -(1-0.002516*L362)^2*2117*COS(2*Q362-P362) +(1-0.002516*L362)^2*2354*COS(2*R362+2*Q362-P362) -1423*COS(4*R362+P362) -1117*COS(4*P362) -(1-0.002516*L362)*1571*COS(4*R362-Q362)  -1739*COS(R362-2*P362) -4421*COS(2*P362-2*S362) +(1-0.002516*L362)^2*1165*COS(2*Q362+P362) +8752*COS(2*R362-P362-2*S362))/1000</f>
        <v>364246.130228026</v>
      </c>
      <c r="AV362" s="54" t="n">
        <f aca="false">ATAN(0.99664719*TAN($A$10*input!$E$2))</f>
        <v>0.871010436227447</v>
      </c>
      <c r="AW362" s="54" t="n">
        <f aca="false">COS(AV362)</f>
        <v>0.644053912545845</v>
      </c>
      <c r="AX362" s="54" t="n">
        <f aca="false">0.99664719*SIN(AV362)</f>
        <v>0.762415269897027</v>
      </c>
      <c r="AY362" s="54" t="n">
        <f aca="false">6378.14/AU362</f>
        <v>0.0175105223383077</v>
      </c>
      <c r="AZ362" s="55" t="n">
        <f aca="false">M362-15*AH362</f>
        <v>-218.897737951867</v>
      </c>
      <c r="BA362" s="56" t="n">
        <f aca="false">COS($A$10*AG362)*SIN($A$10*AZ362)</f>
        <v>0.598090450203466</v>
      </c>
      <c r="BB362" s="56" t="n">
        <f aca="false">COS($A$10*AG362)*COS($A$10*AZ362)-AW362*AY362</f>
        <v>-0.752559223098808</v>
      </c>
      <c r="BC362" s="56" t="n">
        <f aca="false">SIN($A$10*AG362)-AX362*AY362</f>
        <v>-0.317964056811158</v>
      </c>
      <c r="BD362" s="57" t="n">
        <f aca="false">SQRT(BA362^2+BB362^2+BC362^2)</f>
        <v>1.0125012159595</v>
      </c>
      <c r="BE362" s="58" t="n">
        <f aca="false">AU362*BD362</f>
        <v>368799.64976442</v>
      </c>
    </row>
    <row r="363" customFormat="false" ht="15" hidden="false" customHeight="false" outlineLevel="0" collapsed="false">
      <c r="D363" s="41" t="n">
        <f aca="false">K363-INT(275*E363/9)+IF($A$8="common year",2,1)*INT((E363+9)/12)+30</f>
        <v>28</v>
      </c>
      <c r="E363" s="41" t="n">
        <f aca="false">IF(K363&lt;32,1,INT(9*(IF($A$8="common year",2,1)+K363)/275+0.98))</f>
        <v>12</v>
      </c>
      <c r="F363" s="42" t="n">
        <f aca="false">AM363</f>
        <v>-34.1733734617196</v>
      </c>
      <c r="G363" s="60" t="n">
        <f aca="false">F363+1.02/(TAN($A$10*(F363+10.3/(F363+5.11)))*60)</f>
        <v>-34.1980829489782</v>
      </c>
      <c r="H363" s="43" t="n">
        <f aca="false">100*(1+COS($A$10*AQ363))/2</f>
        <v>27.9565022858738</v>
      </c>
      <c r="I363" s="43" t="n">
        <f aca="false">IF(AI363&gt;180,AT363-180,AT363+180)</f>
        <v>293.304588055162</v>
      </c>
      <c r="J363" s="61" t="n">
        <f aca="false">$J$2+K362</f>
        <v>2459941.5</v>
      </c>
      <c r="K363" s="21" t="n">
        <v>362</v>
      </c>
      <c r="L363" s="62" t="n">
        <f aca="false">(J363-2451545)/36525</f>
        <v>0.229883641341547</v>
      </c>
      <c r="M363" s="63" t="n">
        <f aca="false">MOD(280.46061837+360.98564736629*(J363-2451545)+0.000387933*L363^2-L363^3/38710000+$B$7,360)</f>
        <v>111.448749924544</v>
      </c>
      <c r="N363" s="30" t="n">
        <f aca="false">0.606433+1336.855225*L363 - INT(0.606433+1336.855225*L363)</f>
        <v>0.927580069472924</v>
      </c>
      <c r="O363" s="35" t="n">
        <f aca="false">22640*SIN(P363)-4586*SIN(P363-2*R363)+2370*SIN(2*R363)+769*SIN(2*P363)-668*SIN(Q363)-412*SIN(2*S363)-212*SIN(2*P363-2*R363)-206*SIN(P363+Q363-2*R363)+192*SIN(P363+2*R363)-165*SIN(Q363-2*R363)-125*SIN(R363)-110*SIN(P363+Q363)+148*SIN(P363-Q363)-55*SIN(2*S363-2*R363)</f>
        <v>21291.3382372339</v>
      </c>
      <c r="P363" s="32" t="n">
        <f aca="false">2*PI()*(0.374897+1325.55241*L363 - INT(0.374897+1325.55241*L363))</f>
        <v>0.61394134523776</v>
      </c>
      <c r="Q363" s="36" t="n">
        <f aca="false">2*PI()*(0.993133+99.997361*L363 - INT(0.993133+99.997361*L363))</f>
        <v>6.16311659675456</v>
      </c>
      <c r="R363" s="36" t="n">
        <f aca="false">2*PI()*(0.827361+1236.853086*L363 - INT(0.827361+1236.853086*L363))</f>
        <v>1.00312444657965</v>
      </c>
      <c r="S363" s="36" t="n">
        <f aca="false">2*PI()*(0.259086+1342.227825*L363 - INT(0.259086+1342.227825*L363))</f>
        <v>5.12271818333552</v>
      </c>
      <c r="T363" s="36" t="n">
        <f aca="false">S363+(O363+412*SIN(2*S363)+541*SIN(Q363))/206264.8062</f>
        <v>5.2241660276656</v>
      </c>
      <c r="U363" s="36" t="n">
        <f aca="false">S363-2*R363</f>
        <v>3.11646929017622</v>
      </c>
      <c r="V363" s="34" t="n">
        <f aca="false">-526*SIN(U363)+44*SIN(P363+U363)-31*SIN(-P363+U363)-23*SIN(Q363+U363)+11*SIN(-Q363+U363)-25*SIN(-2*P363+S363)+21*SIN(-P363+S363)</f>
        <v>-63.9764686686232</v>
      </c>
      <c r="W363" s="36" t="n">
        <f aca="false">2*PI()*(N363+O363/1296000-INT(N363+O363/1296000))</f>
        <v>5.93138078441031</v>
      </c>
      <c r="X363" s="35" t="n">
        <f aca="false">W363*180/PI()</f>
        <v>339.843085631707</v>
      </c>
      <c r="Y363" s="36" t="n">
        <f aca="false">(18520*SIN(T363)+V363)/206264.8062</f>
        <v>-0.0785936931088275</v>
      </c>
      <c r="Z363" s="36" t="n">
        <f aca="false">Y363*180/PI()</f>
        <v>-4.50308691148224</v>
      </c>
      <c r="AA363" s="36" t="n">
        <f aca="false">COS(Y363)*COS(W363)</f>
        <v>0.935854586853558</v>
      </c>
      <c r="AB363" s="36" t="n">
        <f aca="false">COS(Y363)*SIN(W363)</f>
        <v>-0.343528647294841</v>
      </c>
      <c r="AC363" s="36" t="n">
        <f aca="false">SIN(Y363)</f>
        <v>-0.0785128062989312</v>
      </c>
      <c r="AD363" s="36" t="n">
        <f aca="false">COS($A$10*(23.4393-46.815*L363/3600))*AB363-SIN($A$10*(23.4393-46.815*L363/3600))*AC363</f>
        <v>-0.283961626265088</v>
      </c>
      <c r="AE363" s="36" t="n">
        <f aca="false">SIN($A$10*(23.4393-46.815*L363/3600))*AB363+COS($A$10*(23.4393-46.815*L363/3600))*AC363</f>
        <v>-0.208667168174688</v>
      </c>
      <c r="AF363" s="36" t="n">
        <f aca="false">SQRT(1-AE363*AE363)</f>
        <v>0.977986714084581</v>
      </c>
      <c r="AG363" s="35" t="n">
        <f aca="false">ATAN(AE363/AF363)/$A$10</f>
        <v>-12.0442563290155</v>
      </c>
      <c r="AH363" s="36" t="n">
        <f aca="false">IF(24*ATAN(AD363/(AA363+AF363))/PI()&gt;0,24*ATAN(AD363/(AA363+AF363))/PI(),24*ATAN(AD363/(AA363+AF363))/PI()+24)</f>
        <v>22.8747262604363</v>
      </c>
      <c r="AI363" s="63" t="n">
        <f aca="false">IF(M363-15*AH363&gt;0,M363-15*AH363,360+M363-15*AH363)</f>
        <v>128.327856017999</v>
      </c>
      <c r="AJ363" s="32" t="n">
        <f aca="false">0.950724+0.051818*COS(P363)+0.009531*COS(2*R363-P363)+0.007843*COS(2*R363)+0.002824*COS(2*P363)+0.000857*COS(2*R363+P363)+0.000533*COS(2*R363-Q363)*(1-0.002495*(J363-2415020)/36525)+0.000401*COS(2*R363-Q363-P363)*(1-0.002495*(J363-2415020)/36525)+0.00032*COS(P363-Q363)*(1-0.002495*(J363-2415020)/36525)-0.000271*COS(R363)</f>
        <v>0.99150367582762</v>
      </c>
      <c r="AK363" s="36" t="n">
        <f aca="false">ASIN(COS($A$10*$B$5)*COS($A$10*AG363)*COS($A$10*AI363)+SIN($A$10*$B$5)*SIN($A$10*AG363))/$A$10</f>
        <v>-33.3467511315928</v>
      </c>
      <c r="AL363" s="32" t="n">
        <f aca="false">ASIN((0.9983271+0.0016764*COS($A$10*2*$B$5))*COS($A$10*AK363)*SIN($A$10*AJ363))/$A$10</f>
        <v>0.826622330126842</v>
      </c>
      <c r="AM363" s="32" t="n">
        <f aca="false">AK363-AL363</f>
        <v>-34.1733734617196</v>
      </c>
      <c r="AN363" s="35" t="n">
        <f aca="false"> MOD(280.4664567 + 360007.6982779*L363/10 + 0.03032028*L363^2/100 + L363^3/49931000,360)</f>
        <v>276.454531834705</v>
      </c>
      <c r="AO363" s="32" t="n">
        <f aca="false"> AN363 + (1.9146 - 0.004817*L363 - 0.000014*L363^2)*SIN(Q363)+ (0.019993 - 0.000101*L363)*SIN(2*Q363)+ 0.00029*SIN(3*Q363)</f>
        <v>276.220481213041</v>
      </c>
      <c r="AP363" s="32" t="n">
        <f aca="false">ACOS(COS(W363-$A$10*AO363)*COS(Y363))/$A$10</f>
        <v>63.710281298048</v>
      </c>
      <c r="AQ363" s="34" t="n">
        <f aca="false">180 - AP363 -0.1468*(1-0.0549*SIN(Q363))*SIN($A$10*AP363)/(1-0.0167*SIN($A$10*AO363))</f>
        <v>116.159400820985</v>
      </c>
      <c r="AR363" s="64" t="n">
        <f aca="false">SIN($A$10*AI363)</f>
        <v>0.784474954103257</v>
      </c>
      <c r="AS363" s="64" t="n">
        <f aca="false">COS($A$10*AI363)*SIN($A$10*$B$5) - TAN($A$10*AG363)*COS($A$10*$B$5)</f>
        <v>-0.337922762528243</v>
      </c>
      <c r="AT363" s="24" t="n">
        <f aca="false">IF(OR(AND(AR363*AS363&gt;0), AND(AR363&lt;0,AS363&gt;0)), MOD(ATAN2(AS363,AR363)/$A$10+360,360),  ATAN2(AS363,AR363)/$A$10)</f>
        <v>113.304588055162</v>
      </c>
      <c r="AU363" s="39" t="n">
        <f aca="false"> 385000.56 + (-20905355*COS(P363) - 3699111*COS(2*R363-P363) - 2955968*COS(2*R363) - 569925*COS(2*P363) + (1-0.002516*L363)*48888*COS(Q363) - 3149*COS(2*S363)  +246158*COS(2*R363-2*P363) -(1 - 0.002516*L363)*152138*COS(2*R363-Q363-P363) -170733*COS(2*R363+P363) -(1 - 0.002516*L363)*204586*COS(2*R363-Q363) -(1 - 0.002516*L363)*129620*COS(Q363-P363)  + 108743*COS(R363) +(1-0.002516*L363)*104755*COS(Q363+P363) +10321*COS(2*R363-2*S363) +79661*COS(P363-2*S363) -34782*COS(4*R363-P363) -23210*COS(3*P363)  -21636*COS(4*R363-2*P363) +(1 - 0.002516*L363)*24208*COS(2*R363+Q363-P363) +(1 - 0.002516*L363)*30824*COS(2*R363+Q363) -8379*COS(R363-P363) -(1 - 0.002516*L363)*16675*COS(R363+Q363)  -(1 - 0.002516*L363)*12831*COS(2*R363-Q363+P363) -10445*COS(2*R363+2*P363) -11650*COS(4*R363) +14403*COS(2*R363-3*P363) -(1-0.002516*L363)*7003*COS(Q363-2*P363)  + (1 - 0.002516*L363)*10056*COS(2*R363-Q363-2*P363) +6322*COS(R363+P363) -(1 - 0.002516*L363)*(1-0.002516*L363)*9884*COS(2*R363-2*Q363) +(1-0.002516*L363)*5751*COS(Q363+2*P363) - (1-0.002516*L363)^2*4950*COS(2*R363-2*Q363-P363)  +4130*COS(2*R363+P363-2*S363) -(1-0.002516*L363)*3958*COS(4*R363-Q363-P363) +3258*COS(3*R363-P363) +(1 - 0.002516*L363)*2616*COS(2*R363+Q363+P363) -(1 - 0.002516*L363)*1897*COS(4*R363-Q363-2*P363)  -(1-0.002516*L363)^2*2117*COS(2*Q363-P363) +(1-0.002516*L363)^2*2354*COS(2*R363+2*Q363-P363) -1423*COS(4*R363+P363) -1117*COS(4*P363) -(1-0.002516*L363)*1571*COS(4*R363-Q363)  -1739*COS(R363-2*P363) -4421*COS(2*P363-2*S363) +(1-0.002516*L363)^2*1165*COS(2*Q363+P363) +8752*COS(2*R363-P363-2*S363))/1000</f>
        <v>368853.141750174</v>
      </c>
      <c r="AV363" s="54" t="n">
        <f aca="false">ATAN(0.99664719*TAN($A$10*input!$E$2))</f>
        <v>0.871010436227447</v>
      </c>
      <c r="AW363" s="54" t="n">
        <f aca="false">COS(AV363)</f>
        <v>0.644053912545845</v>
      </c>
      <c r="AX363" s="54" t="n">
        <f aca="false">0.99664719*SIN(AV363)</f>
        <v>0.762415269897027</v>
      </c>
      <c r="AY363" s="54" t="n">
        <f aca="false">6378.14/AU363</f>
        <v>0.0172918142156424</v>
      </c>
      <c r="AZ363" s="55" t="n">
        <f aca="false">M363-15*AH363</f>
        <v>-231.672143982001</v>
      </c>
      <c r="BA363" s="56" t="n">
        <f aca="false">COS($A$10*AG363)*SIN($A$10*AZ363)</f>
        <v>0.767206082645098</v>
      </c>
      <c r="BB363" s="56" t="n">
        <f aca="false">COS($A$10*AG363)*COS($A$10*AZ363)-AW363*AY363</f>
        <v>-0.61764559069302</v>
      </c>
      <c r="BC363" s="56" t="n">
        <f aca="false">SIN($A$10*AG363)-AX363*AY363</f>
        <v>-0.221850711376916</v>
      </c>
      <c r="BD363" s="57" t="n">
        <f aca="false">SQRT(BA363^2+BB363^2+BC363^2)</f>
        <v>1.00960833350791</v>
      </c>
      <c r="BE363" s="58" t="n">
        <f aca="false">AU363*BD363</f>
        <v>372397.205751548</v>
      </c>
    </row>
    <row r="364" customFormat="false" ht="15" hidden="false" customHeight="false" outlineLevel="0" collapsed="false">
      <c r="D364" s="41" t="n">
        <f aca="false">K364-INT(275*E364/9)+IF($A$8="common year",2,1)*INT((E364+9)/12)+30</f>
        <v>29</v>
      </c>
      <c r="E364" s="41" t="n">
        <f aca="false">IF(K364&lt;32,1,INT(9*(IF($A$8="common year",2,1)+K364)/275+0.98))</f>
        <v>12</v>
      </c>
      <c r="F364" s="42" t="n">
        <f aca="false">AM364</f>
        <v>-22.2534145838345</v>
      </c>
      <c r="G364" s="60" t="n">
        <f aca="false">F364+1.02/(TAN($A$10*(F364+10.3/(F364+5.11)))*60)</f>
        <v>-22.2937490807547</v>
      </c>
      <c r="H364" s="43" t="n">
        <f aca="false">100*(1+COS($A$10*AQ364))/2</f>
        <v>38.6281375271074</v>
      </c>
      <c r="I364" s="43" t="n">
        <f aca="false">IF(AI364&gt;180,AT364-180,AT364+180)</f>
        <v>287.117751049709</v>
      </c>
      <c r="J364" s="61" t="n">
        <f aca="false">$J$2+K363</f>
        <v>2459942.5</v>
      </c>
      <c r="K364" s="21" t="n">
        <v>363</v>
      </c>
      <c r="L364" s="62" t="n">
        <f aca="false">(J364-2451545)/36525</f>
        <v>0.229911019849418</v>
      </c>
      <c r="M364" s="63" t="n">
        <f aca="false">MOD(280.46061837+360.98564736629*(J364-2451545)+0.000387933*L364^2-L364^3/38710000+$B$7,360)</f>
        <v>112.434397295583</v>
      </c>
      <c r="N364" s="30" t="n">
        <f aca="false">0.606433+1336.855225*L364 - INT(0.606433+1336.855225*L364)</f>
        <v>0.964181170773429</v>
      </c>
      <c r="O364" s="35" t="n">
        <f aca="false">22640*SIN(P364)-4586*SIN(P364-2*R364)+2370*SIN(2*R364)+769*SIN(2*P364)-668*SIN(Q364)-412*SIN(2*S364)-212*SIN(2*P364-2*R364)-206*SIN(P364+Q364-2*R364)+192*SIN(P364+2*R364)-165*SIN(Q364-2*R364)-125*SIN(R364)-110*SIN(P364+Q364)+148*SIN(P364-Q364)-55*SIN(2*S364-2*R364)</f>
        <v>24541.6664195151</v>
      </c>
      <c r="P364" s="32" t="n">
        <f aca="false">2*PI()*(0.374897+1325.55241*L364 - INT(0.374897+1325.55241*L364))</f>
        <v>0.841968489013578</v>
      </c>
      <c r="Q364" s="36" t="n">
        <f aca="false">2*PI()*(0.993133+99.997361*L364 - INT(0.993133+99.997361*L364))</f>
        <v>6.18031856662154</v>
      </c>
      <c r="R364" s="36" t="n">
        <f aca="false">2*PI()*(0.827361+1236.853086*L364 - INT(0.827361+1236.853086*L364))</f>
        <v>1.21589315669831</v>
      </c>
      <c r="S364" s="36" t="n">
        <f aca="false">2*PI()*(0.259086+1342.227825*L364 - INT(0.259086+1342.227825*L364))</f>
        <v>5.35361390267616</v>
      </c>
      <c r="T364" s="36" t="n">
        <f aca="false">S364+(O364+412*SIN(2*S364)+541*SIN(Q364))/206264.8062</f>
        <v>5.47041096228484</v>
      </c>
      <c r="U364" s="36" t="n">
        <f aca="false">S364-2*R364</f>
        <v>2.92182758927953</v>
      </c>
      <c r="V364" s="34" t="n">
        <f aca="false">-526*SIN(U364)+44*SIN(P364+U364)-31*SIN(-P364+U364)-23*SIN(Q364+U364)+11*SIN(-Q364+U364)-25*SIN(-2*P364+S364)+21*SIN(-P364+S364)</f>
        <v>-181.372635279135</v>
      </c>
      <c r="W364" s="36" t="n">
        <f aca="false">2*PI()*(N364+O364/1296000-INT(N364+O364/1296000))</f>
        <v>6.1771103220369</v>
      </c>
      <c r="X364" s="35" t="n">
        <f aca="false">W364*180/PI()</f>
        <v>353.922351039411</v>
      </c>
      <c r="Y364" s="36" t="n">
        <f aca="false">(18520*SIN(T364)+V364)/206264.8062</f>
        <v>-0.0660827540818633</v>
      </c>
      <c r="Z364" s="36" t="n">
        <f aca="false">Y364*180/PI()</f>
        <v>-3.78626290749168</v>
      </c>
      <c r="AA364" s="36" t="n">
        <f aca="false">COS(Y364)*COS(W364)</f>
        <v>0.992208919373392</v>
      </c>
      <c r="AB364" s="36" t="n">
        <f aca="false">COS(Y364)*SIN(W364)</f>
        <v>-0.105645079972674</v>
      </c>
      <c r="AC364" s="36" t="n">
        <f aca="false">SIN(Y364)</f>
        <v>-0.0660346681179905</v>
      </c>
      <c r="AD364" s="36" t="n">
        <f aca="false">COS($A$10*(23.4393-46.815*L364/3600))*AB364-SIN($A$10*(23.4393-46.815*L364/3600))*AC364</f>
        <v>-0.0706657216503061</v>
      </c>
      <c r="AE364" s="36" t="n">
        <f aca="false">SIN($A$10*(23.4393-46.815*L364/3600))*AB364+COS($A$10*(23.4393-46.815*L364/3600))*AC364</f>
        <v>-0.102605146554777</v>
      </c>
      <c r="AF364" s="36" t="n">
        <f aca="false">SQRT(1-AE364*AE364)</f>
        <v>0.994722164174737</v>
      </c>
      <c r="AG364" s="35" t="n">
        <f aca="false">ATAN(AE364/AF364)/$A$10</f>
        <v>-5.88920625858056</v>
      </c>
      <c r="AH364" s="36" t="n">
        <f aca="false">IF(24*ATAN(AD364/(AA364+AF364))/PI()&gt;0,24*ATAN(AD364/(AA364+AF364))/PI(),24*ATAN(AD364/(AA364+AF364))/PI()+24)</f>
        <v>23.7284158924186</v>
      </c>
      <c r="AI364" s="63" t="n">
        <f aca="false">IF(M364-15*AH364&gt;0,M364-15*AH364,360+M364-15*AH364)</f>
        <v>116.508158909304</v>
      </c>
      <c r="AJ364" s="32" t="n">
        <f aca="false">0.950724+0.051818*COS(P364)+0.009531*COS(2*R364-P364)+0.007843*COS(2*R364)+0.002824*COS(2*P364)+0.000857*COS(2*R364+P364)+0.000533*COS(2*R364-Q364)*(1-0.002495*(J364-2415020)/36525)+0.000401*COS(2*R364-Q364-P364)*(1-0.002495*(J364-2415020)/36525)+0.00032*COS(P364-Q364)*(1-0.002495*(J364-2415020)/36525)-0.000271*COS(R364)</f>
        <v>0.977543771160634</v>
      </c>
      <c r="AK364" s="36" t="n">
        <f aca="false">ASIN(COS($A$10*$B$5)*COS($A$10*AG364)*COS($A$10*AI364)+SIN($A$10*$B$5)*SIN($A$10*AG364))/$A$10</f>
        <v>-21.344717242781</v>
      </c>
      <c r="AL364" s="32" t="n">
        <f aca="false">ASIN((0.9983271+0.0016764*COS($A$10*2*$B$5))*COS($A$10*AK364)*SIN($A$10*AJ364))/$A$10</f>
        <v>0.908697341053468</v>
      </c>
      <c r="AM364" s="32" t="n">
        <f aca="false">AK364-AL364</f>
        <v>-22.2534145838345</v>
      </c>
      <c r="AN364" s="35" t="n">
        <f aca="false"> MOD(280.4664567 + 360007.6982779*L364/10 + 0.03032028*L364^2/100 + L364^3/49931000,360)</f>
        <v>277.440179198627</v>
      </c>
      <c r="AO364" s="32" t="n">
        <f aca="false"> AN364 + (1.9146 - 0.004817*L364 - 0.000014*L364^2)*SIN(Q364)+ (0.019993 - 0.000101*L364)*SIN(2*Q364)+ 0.00029*SIN(3*Q364)</f>
        <v>277.239523877987</v>
      </c>
      <c r="AP364" s="32" t="n">
        <f aca="false">ACOS(COS(W364-$A$10*AO364)*COS(Y364))/$A$10</f>
        <v>76.7124273489243</v>
      </c>
      <c r="AQ364" s="34" t="n">
        <f aca="false">180 - AP364 -0.1468*(1-0.0549*SIN(Q364))*SIN($A$10*AP364)/(1-0.0167*SIN($A$10*AO364))</f>
        <v>103.146238712192</v>
      </c>
      <c r="AR364" s="64" t="n">
        <f aca="false">SIN($A$10*AI364)</f>
        <v>0.894870814035571</v>
      </c>
      <c r="AS364" s="64" t="n">
        <f aca="false">COS($A$10*AI364)*SIN($A$10*$B$5) - TAN($A$10*AG364)*COS($A$10*$B$5)</f>
        <v>-0.27560172076686</v>
      </c>
      <c r="AT364" s="24" t="n">
        <f aca="false">IF(OR(AND(AR364*AS364&gt;0), AND(AR364&lt;0,AS364&gt;0)), MOD(ATAN2(AS364,AR364)/$A$10+360,360),  ATAN2(AS364,AR364)/$A$10)</f>
        <v>107.117751049709</v>
      </c>
      <c r="AU364" s="39" t="n">
        <f aca="false"> 385000.56 + (-20905355*COS(P364) - 3699111*COS(2*R364-P364) - 2955968*COS(2*R364) - 569925*COS(2*P364) + (1-0.002516*L364)*48888*COS(Q364) - 3149*COS(2*S364)  +246158*COS(2*R364-2*P364) -(1 - 0.002516*L364)*152138*COS(2*R364-Q364-P364) -170733*COS(2*R364+P364) -(1 - 0.002516*L364)*204586*COS(2*R364-Q364) -(1 - 0.002516*L364)*129620*COS(Q364-P364)  + 108743*COS(R364) +(1-0.002516*L364)*104755*COS(Q364+P364) +10321*COS(2*R364-2*S364) +79661*COS(P364-2*S364) -34782*COS(4*R364-P364) -23210*COS(3*P364)  -21636*COS(4*R364-2*P364) +(1 - 0.002516*L364)*24208*COS(2*R364+Q364-P364) +(1 - 0.002516*L364)*30824*COS(2*R364+Q364) -8379*COS(R364-P364) -(1 - 0.002516*L364)*16675*COS(R364+Q364)  -(1 - 0.002516*L364)*12831*COS(2*R364-Q364+P364) -10445*COS(2*R364+2*P364) -11650*COS(4*R364) +14403*COS(2*R364-3*P364) -(1-0.002516*L364)*7003*COS(Q364-2*P364)  + (1 - 0.002516*L364)*10056*COS(2*R364-Q364-2*P364) +6322*COS(R364+P364) -(1 - 0.002516*L364)*(1-0.002516*L364)*9884*COS(2*R364-2*Q364) +(1-0.002516*L364)*5751*COS(Q364+2*P364) - (1-0.002516*L364)^2*4950*COS(2*R364-2*Q364-P364)  +4130*COS(2*R364+P364-2*S364) -(1-0.002516*L364)*3958*COS(4*R364-Q364-P364) +3258*COS(3*R364-P364) +(1 - 0.002516*L364)*2616*COS(2*R364+Q364+P364) -(1 - 0.002516*L364)*1897*COS(4*R364-Q364-2*P364)  -(1-0.002516*L364)^2*2117*COS(2*Q364-P364) +(1-0.002516*L364)^2*2354*COS(2*R364+2*Q364-P364) -1423*COS(4*R364+P364) -1117*COS(4*P364) -(1-0.002516*L364)*1571*COS(4*R364-Q364)  -1739*COS(R364-2*P364) -4421*COS(2*P364-2*S364) +(1-0.002516*L364)^2*1165*COS(2*Q364+P364) +8752*COS(2*R364-P364-2*S364))/1000</f>
        <v>374071.341133801</v>
      </c>
      <c r="AV364" s="54" t="n">
        <f aca="false">ATAN(0.99664719*TAN($A$10*input!$E$2))</f>
        <v>0.871010436227447</v>
      </c>
      <c r="AW364" s="54" t="n">
        <f aca="false">COS(AV364)</f>
        <v>0.644053912545845</v>
      </c>
      <c r="AX364" s="54" t="n">
        <f aca="false">0.99664719*SIN(AV364)</f>
        <v>0.762415269897027</v>
      </c>
      <c r="AY364" s="54" t="n">
        <f aca="false">6378.14/AU364</f>
        <v>0.0170505978369474</v>
      </c>
      <c r="AZ364" s="55" t="n">
        <f aca="false">M364-15*AH364</f>
        <v>-243.491841090696</v>
      </c>
      <c r="BA364" s="56" t="n">
        <f aca="false">COS($A$10*AG364)*SIN($A$10*AZ364)</f>
        <v>0.890147832794273</v>
      </c>
      <c r="BB364" s="56" t="n">
        <f aca="false">COS($A$10*AG364)*COS($A$10*AZ364)-AW364*AY364</f>
        <v>-0.454951119956383</v>
      </c>
      <c r="BC364" s="56" t="n">
        <f aca="false">SIN($A$10*AG364)-AX364*AY364</f>
        <v>-0.115604782706539</v>
      </c>
      <c r="BD364" s="57" t="n">
        <f aca="false">SQRT(BA364^2+BB364^2+BC364^2)</f>
        <v>1.00633401590254</v>
      </c>
      <c r="BE364" s="58" t="n">
        <f aca="false">AU364*BD364</f>
        <v>376440.714957227</v>
      </c>
    </row>
    <row r="365" customFormat="false" ht="15" hidden="false" customHeight="false" outlineLevel="0" collapsed="false">
      <c r="D365" s="41" t="n">
        <f aca="false">K365-INT(275*E365/9)+IF($A$8="common year",2,1)*INT((E365+9)/12)+30</f>
        <v>30</v>
      </c>
      <c r="E365" s="41" t="n">
        <f aca="false">IF(K365&lt;32,1,INT(9*(IF($A$8="common year",2,1)+K365)/275+0.98))</f>
        <v>12</v>
      </c>
      <c r="F365" s="42" t="n">
        <f aca="false">AM365</f>
        <v>-10.4576549667104</v>
      </c>
      <c r="G365" s="60" t="n">
        <f aca="false">F365+1.02/(TAN($A$10*(F365+10.3/(F365+5.11)))*60)</f>
        <v>-10.535080208248</v>
      </c>
      <c r="H365" s="43" t="n">
        <f aca="false">100*(1+COS($A$10*AQ365))/2</f>
        <v>49.5214447448457</v>
      </c>
      <c r="I365" s="43" t="n">
        <f aca="false">IF(AI365&gt;180,AT365-180,AT365+180)</f>
        <v>282.097517485148</v>
      </c>
      <c r="J365" s="61" t="n">
        <f aca="false">$J$2+K364</f>
        <v>2459943.5</v>
      </c>
      <c r="K365" s="21" t="n">
        <v>364</v>
      </c>
      <c r="L365" s="62" t="n">
        <f aca="false">(J365-2451545)/36525</f>
        <v>0.22993839835729</v>
      </c>
      <c r="M365" s="63" t="n">
        <f aca="false">MOD(280.46061837+360.98564736629*(J365-2451545)+0.000387933*L365^2-L365^3/38710000+$B$7,360)</f>
        <v>113.420044666622</v>
      </c>
      <c r="N365" s="30" t="n">
        <f aca="false">0.606433+1336.855225*L365 - INT(0.606433+1336.855225*L365)</f>
        <v>0.000782272073877266</v>
      </c>
      <c r="O365" s="35" t="n">
        <f aca="false">22640*SIN(P365)-4586*SIN(P365-2*R365)+2370*SIN(2*R365)+769*SIN(2*P365)-668*SIN(Q365)-412*SIN(2*S365)-212*SIN(2*P365-2*R365)-206*SIN(P365+Q365-2*R365)+192*SIN(P365+2*R365)-165*SIN(Q365-2*R365)-125*SIN(R365)-110*SIN(P365+Q365)+148*SIN(P365-Q365)-55*SIN(2*S365-2*R365)</f>
        <v>26217.5965812269</v>
      </c>
      <c r="P365" s="32" t="n">
        <f aca="false">2*PI()*(0.374897+1325.55241*L365 - INT(0.374897+1325.55241*L365))</f>
        <v>1.06999563278904</v>
      </c>
      <c r="Q365" s="36" t="n">
        <f aca="false">2*PI()*(0.993133+99.997361*L365 - INT(0.993133+99.997361*L365))</f>
        <v>6.19752053648855</v>
      </c>
      <c r="R365" s="36" t="n">
        <f aca="false">2*PI()*(0.827361+1236.853086*L365 - INT(0.827361+1236.853086*L365))</f>
        <v>1.42866186681734</v>
      </c>
      <c r="S365" s="36" t="n">
        <f aca="false">2*PI()*(0.259086+1342.227825*L365 - INT(0.259086+1342.227825*L365))</f>
        <v>5.58450962201717</v>
      </c>
      <c r="T365" s="36" t="n">
        <f aca="false">S365+(O365+412*SIN(2*S365)+541*SIN(Q365))/206264.8062</f>
        <v>5.70942424359738</v>
      </c>
      <c r="U365" s="36" t="n">
        <f aca="false">S365-2*R365</f>
        <v>2.72718588838249</v>
      </c>
      <c r="V365" s="34" t="n">
        <f aca="false">-526*SIN(U365)+44*SIN(P365+U365)-31*SIN(-P365+U365)-23*SIN(Q365+U365)+11*SIN(-Q365+U365)-25*SIN(-2*P365+S365)+21*SIN(-P365+S365)</f>
        <v>-290.109463464949</v>
      </c>
      <c r="W365" s="36" t="n">
        <f aca="false">2*PI()*(N365+O365/1296000-INT(N365+O365/1296000))</f>
        <v>0.132021655484697</v>
      </c>
      <c r="X365" s="35" t="n">
        <f aca="false">W365*180/PI()</f>
        <v>7.56428366360329</v>
      </c>
      <c r="Y365" s="36" t="n">
        <f aca="false">(18520*SIN(T365)+V365)/206264.8062</f>
        <v>-0.0501426632060819</v>
      </c>
      <c r="Z365" s="36" t="n">
        <f aca="false">Y365*180/PI()</f>
        <v>-2.87296297525442</v>
      </c>
      <c r="AA365" s="36" t="n">
        <f aca="false">COS(Y365)*COS(W365)</f>
        <v>0.990051849690358</v>
      </c>
      <c r="AB365" s="36" t="n">
        <f aca="false">COS(Y365)*SIN(W365)</f>
        <v>0.13147301912371</v>
      </c>
      <c r="AC365" s="36" t="n">
        <f aca="false">SIN(Y365)</f>
        <v>-0.0501216536758103</v>
      </c>
      <c r="AD365" s="36" t="n">
        <f aca="false">COS($A$10*(23.4393-46.815*L365/3600))*AB365-SIN($A$10*(23.4393-46.815*L365/3600))*AC365</f>
        <v>0.140561713744283</v>
      </c>
      <c r="AE365" s="36" t="n">
        <f aca="false">SIN($A$10*(23.4393-46.815*L365/3600))*AB365+COS($A$10*(23.4393-46.815*L365/3600))*AC365</f>
        <v>0.00630393162808286</v>
      </c>
      <c r="AF365" s="36" t="n">
        <f aca="false">SQRT(1-AE365*AE365)</f>
        <v>0.999980130025606</v>
      </c>
      <c r="AG365" s="35" t="n">
        <f aca="false">ATAN(AE365/AF365)/$A$10</f>
        <v>0.361191068917114</v>
      </c>
      <c r="AH365" s="36" t="n">
        <f aca="false">IF(24*ATAN(AD365/(AA365+AF365))/PI()&gt;0,24*ATAN(AD365/(AA365+AF365))/PI(),24*ATAN(AD365/(AA365+AF365))/PI()+24)</f>
        <v>0.538700875144032</v>
      </c>
      <c r="AI365" s="63" t="n">
        <f aca="false">IF(M365-15*AH365&gt;0,M365-15*AH365,360+M365-15*AH365)</f>
        <v>105.339531539461</v>
      </c>
      <c r="AJ365" s="32" t="n">
        <f aca="false">0.950724+0.051818*COS(P365)+0.009531*COS(2*R365-P365)+0.007843*COS(2*R365)+0.002824*COS(2*P365)+0.000857*COS(2*R365+P365)+0.000533*COS(2*R365-Q365)*(1-0.002495*(J365-2415020)/36525)+0.000401*COS(2*R365-Q365-P365)*(1-0.002495*(J365-2415020)/36525)+0.00032*COS(P365-Q365)*(1-0.002495*(J365-2415020)/36525)-0.000271*COS(R365)</f>
        <v>0.963349944245042</v>
      </c>
      <c r="AK365" s="36" t="n">
        <f aca="false">ASIN(COS($A$10*$B$5)*COS($A$10*AG365)*COS($A$10*AI365)+SIN($A$10*$B$5)*SIN($A$10*AG365))/$A$10</f>
        <v>-9.50941032822058</v>
      </c>
      <c r="AL365" s="32" t="n">
        <f aca="false">ASIN((0.9983271+0.0016764*COS($A$10*2*$B$5))*COS($A$10*AK365)*SIN($A$10*AJ365))/$A$10</f>
        <v>0.948244638489831</v>
      </c>
      <c r="AM365" s="32" t="n">
        <f aca="false">AK365-AL365</f>
        <v>-10.4576549667104</v>
      </c>
      <c r="AN365" s="35" t="n">
        <f aca="false"> MOD(280.4664567 + 360007.6982779*L365/10 + 0.03032028*L365^2/100 + L365^3/49931000,360)</f>
        <v>278.425826562547</v>
      </c>
      <c r="AO365" s="32" t="n">
        <f aca="false"> AN365 + (1.9146 - 0.004817*L365 - 0.000014*L365^2)*SIN(Q365)+ (0.019993 - 0.000101*L365)*SIN(2*Q365)+ 0.00029*SIN(3*Q365)</f>
        <v>278.258629741733</v>
      </c>
      <c r="AP365" s="32" t="n">
        <f aca="false">ACOS(COS(W365-$A$10*AO365)*COS(Y365))/$A$10</f>
        <v>89.3065266741831</v>
      </c>
      <c r="AQ365" s="34" t="n">
        <f aca="false">180 - AP365 -0.1468*(1-0.0549*SIN(Q365))*SIN($A$10*AP365)/(1-0.0167*SIN($A$10*AO365))</f>
        <v>90.5483923005759</v>
      </c>
      <c r="AR365" s="64" t="n">
        <f aca="false">SIN($A$10*AI365)</f>
        <v>0.964375128221033</v>
      </c>
      <c r="AS365" s="64" t="n">
        <f aca="false">COS($A$10*AI365)*SIN($A$10*$B$5) - TAN($A$10*AG365)*COS($A$10*$B$5)</f>
        <v>-0.206700409013169</v>
      </c>
      <c r="AT365" s="24" t="n">
        <f aca="false">IF(OR(AND(AR365*AS365&gt;0), AND(AR365&lt;0,AS365&gt;0)), MOD(ATAN2(AS365,AR365)/$A$10+360,360),  ATAN2(AS365,AR365)/$A$10)</f>
        <v>102.097517485148</v>
      </c>
      <c r="AU365" s="39" t="n">
        <f aca="false"> 385000.56 + (-20905355*COS(P365) - 3699111*COS(2*R365-P365) - 2955968*COS(2*R365) - 569925*COS(2*P365) + (1-0.002516*L365)*48888*COS(Q365) - 3149*COS(2*S365)  +246158*COS(2*R365-2*P365) -(1 - 0.002516*L365)*152138*COS(2*R365-Q365-P365) -170733*COS(2*R365+P365) -(1 - 0.002516*L365)*204586*COS(2*R365-Q365) -(1 - 0.002516*L365)*129620*COS(Q365-P365)  + 108743*COS(R365) +(1-0.002516*L365)*104755*COS(Q365+P365) +10321*COS(2*R365-2*S365) +79661*COS(P365-2*S365) -34782*COS(4*R365-P365) -23210*COS(3*P365)  -21636*COS(4*R365-2*P365) +(1 - 0.002516*L365)*24208*COS(2*R365+Q365-P365) +(1 - 0.002516*L365)*30824*COS(2*R365+Q365) -8379*COS(R365-P365) -(1 - 0.002516*L365)*16675*COS(R365+Q365)  -(1 - 0.002516*L365)*12831*COS(2*R365-Q365+P365) -10445*COS(2*R365+2*P365) -11650*COS(4*R365) +14403*COS(2*R365-3*P365) -(1-0.002516*L365)*7003*COS(Q365-2*P365)  + (1 - 0.002516*L365)*10056*COS(2*R365-Q365-2*P365) +6322*COS(R365+P365) -(1 - 0.002516*L365)*(1-0.002516*L365)*9884*COS(2*R365-2*Q365) +(1-0.002516*L365)*5751*COS(Q365+2*P365) - (1-0.002516*L365)^2*4950*COS(2*R365-2*Q365-P365)  +4130*COS(2*R365+P365-2*S365) -(1-0.002516*L365)*3958*COS(4*R365-Q365-P365) +3258*COS(3*R365-P365) +(1 - 0.002516*L365)*2616*COS(2*R365+Q365+P365) -(1 - 0.002516*L365)*1897*COS(4*R365-Q365-2*P365)  -(1-0.002516*L365)^2*2117*COS(2*Q365-P365) +(1-0.002516*L365)^2*2354*COS(2*R365+2*Q365-P365) -1423*COS(4*R365+P365) -1117*COS(4*P365) -(1-0.002516*L365)*1571*COS(4*R365-Q365)  -1739*COS(R365-2*P365) -4421*COS(2*P365-2*S365) +(1-0.002516*L365)^2*1165*COS(2*Q365+P365) +8752*COS(2*R365-P365-2*S365))/1000</f>
        <v>379473.221501205</v>
      </c>
      <c r="AV365" s="54" t="n">
        <f aca="false">ATAN(0.99664719*TAN($A$10*input!$E$2))</f>
        <v>0.871010436227447</v>
      </c>
      <c r="AW365" s="54" t="n">
        <f aca="false">COS(AV365)</f>
        <v>0.644053912545845</v>
      </c>
      <c r="AX365" s="54" t="n">
        <f aca="false">0.99664719*SIN(AV365)</f>
        <v>0.762415269897027</v>
      </c>
      <c r="AY365" s="54" t="n">
        <f aca="false">6378.14/AU365</f>
        <v>0.0168078790244221</v>
      </c>
      <c r="AZ365" s="55" t="n">
        <f aca="false">M365-15*AH365</f>
        <v>105.339531539461</v>
      </c>
      <c r="BA365" s="56" t="n">
        <f aca="false">COS($A$10*AG365)*SIN($A$10*AZ365)</f>
        <v>0.96435596611193</v>
      </c>
      <c r="BB365" s="56" t="n">
        <f aca="false">COS($A$10*AG365)*COS($A$10*AZ365)-AW365*AY365</f>
        <v>-0.275358412697105</v>
      </c>
      <c r="BC365" s="56" t="n">
        <f aca="false">SIN($A$10*AG365)-AX365*AY365</f>
        <v>-0.00651065199471853</v>
      </c>
      <c r="BD365" s="57" t="n">
        <f aca="false">SQRT(BA365^2+BB365^2+BC365^2)</f>
        <v>1.002919275619</v>
      </c>
      <c r="BE365" s="58" t="n">
        <f aca="false">AU365*BD365</f>
        <v>380581.008424797</v>
      </c>
    </row>
    <row r="366" customFormat="false" ht="15" hidden="false" customHeight="false" outlineLevel="0" collapsed="false">
      <c r="A366" s="22"/>
      <c r="D366" s="41" t="n">
        <f aca="false">K366-INT(275*E366/9)+IF($A$8="common year",2,1)*INT((E366+9)/12)+30</f>
        <v>31</v>
      </c>
      <c r="E366" s="41" t="n">
        <f aca="false">IF(K366&lt;32,1,INT(9*(IF($A$8="common year",2,1)+K366)/275+0.98))</f>
        <v>12</v>
      </c>
      <c r="F366" s="42" t="n">
        <f aca="false">AM366</f>
        <v>1.08515625169049</v>
      </c>
      <c r="G366" s="60" t="n">
        <f aca="false">F366+1.02/(TAN($A$10*(F366+10.3/(F366+5.11)))*60)</f>
        <v>1.43936715907436</v>
      </c>
      <c r="H366" s="43" t="n">
        <f aca="false">100*(1+COS($A$10*AQ366))/2</f>
        <v>60.0973945380835</v>
      </c>
      <c r="I366" s="43" t="n">
        <f aca="false">IF(AI366&gt;180,AT366-180,AT366+180)</f>
        <v>277.571468285795</v>
      </c>
      <c r="J366" s="61" t="n">
        <f aca="false">$J$2+K365</f>
        <v>2459944.5</v>
      </c>
      <c r="K366" s="21" t="n">
        <v>365</v>
      </c>
      <c r="L366" s="62" t="n">
        <f aca="false">(J366-2451545)/36525</f>
        <v>0.229965776865161</v>
      </c>
      <c r="M366" s="63" t="n">
        <f aca="false">MOD(280.46061837+360.98564736629*(J366-2451545)+0.000387933*L366^2-L366^3/38710000+$B$7,360)</f>
        <v>114.405692038126</v>
      </c>
      <c r="N366" s="30" t="n">
        <f aca="false">0.606433+1336.855225*L366 - INT(0.606433+1336.855225*L366)</f>
        <v>0.0373833733743822</v>
      </c>
      <c r="O366" s="35" t="n">
        <f aca="false">22640*SIN(P366)-4586*SIN(P366-2*R366)+2370*SIN(2*R366)+769*SIN(2*P366)-668*SIN(Q366)-412*SIN(2*S366)-212*SIN(2*P366-2*R366)-206*SIN(P366+Q366-2*R366)+192*SIN(P366+2*R366)-165*SIN(Q366-2*R366)-125*SIN(R366)-110*SIN(P366+Q366)+148*SIN(P366-Q366)-55*SIN(2*S366-2*R366)</f>
        <v>26404.4542018854</v>
      </c>
      <c r="P366" s="32" t="n">
        <f aca="false">2*PI()*(0.374897+1325.55241*L366 - INT(0.374897+1325.55241*L366))</f>
        <v>1.29802277656486</v>
      </c>
      <c r="Q366" s="36" t="n">
        <f aca="false">2*PI()*(0.993133+99.997361*L366 - INT(0.993133+99.997361*L366))</f>
        <v>6.21472250635554</v>
      </c>
      <c r="R366" s="36" t="n">
        <f aca="false">2*PI()*(0.827361+1236.853086*L366 - INT(0.827361+1236.853086*L366))</f>
        <v>1.64143057693636</v>
      </c>
      <c r="S366" s="36" t="n">
        <f aca="false">2*PI()*(0.259086+1342.227825*L366 - INT(0.259086+1342.227825*L366))</f>
        <v>5.81540534135817</v>
      </c>
      <c r="T366" s="36" t="n">
        <f aca="false">S366+(O366+412*SIN(2*S366)+541*SIN(Q366))/206264.8062</f>
        <v>5.94163052478303</v>
      </c>
      <c r="U366" s="36" t="n">
        <f aca="false">S366-2*R366</f>
        <v>2.53254418748545</v>
      </c>
      <c r="V366" s="34" t="n">
        <f aca="false">-526*SIN(U366)+44*SIN(P366+U366)-31*SIN(-P366+U366)-23*SIN(Q366+U366)+11*SIN(-Q366+U366)-25*SIN(-2*P366+S366)+21*SIN(-P366+S366)</f>
        <v>-385.570845939933</v>
      </c>
      <c r="W366" s="36" t="n">
        <f aca="false">2*PI()*(N366+O366/1296000-INT(N366+O366/1296000))</f>
        <v>0.362899068711769</v>
      </c>
      <c r="X366" s="35" t="n">
        <f aca="false">W366*180/PI()</f>
        <v>20.7925850264124</v>
      </c>
      <c r="Y366" s="36" t="n">
        <f aca="false">(18520*SIN(T366)+V366)/206264.8062</f>
        <v>-0.0319438427380957</v>
      </c>
      <c r="Z366" s="36" t="n">
        <f aca="false">Y366*180/PI()</f>
        <v>-1.8302473703225</v>
      </c>
      <c r="AA366" s="36" t="n">
        <f aca="false">COS(Y366)*COS(W366)</f>
        <v>0.934394689790943</v>
      </c>
      <c r="AB366" s="36" t="n">
        <f aca="false">COS(Y366)*SIN(W366)</f>
        <v>0.35480487825371</v>
      </c>
      <c r="AC366" s="36" t="n">
        <f aca="false">SIN(Y366)</f>
        <v>-0.0319384103840203</v>
      </c>
      <c r="AD366" s="36" t="n">
        <f aca="false">COS($A$10*(23.4393-46.815*L366/3600))*AB366-SIN($A$10*(23.4393-46.815*L366/3600))*AC366</f>
        <v>0.338237300480128</v>
      </c>
      <c r="AE366" s="36" t="n">
        <f aca="false">SIN($A$10*(23.4393-46.815*L366/3600))*AB366+COS($A$10*(23.4393-46.815*L366/3600))*AC366</f>
        <v>0.11181275532963</v>
      </c>
      <c r="AF366" s="36" t="n">
        <f aca="false">SQRT(1-AE366*AE366)</f>
        <v>0.993729292989593</v>
      </c>
      <c r="AG366" s="35" t="n">
        <f aca="false">ATAN(AE366/AF366)/$A$10</f>
        <v>6.41982353841544</v>
      </c>
      <c r="AH366" s="36" t="n">
        <f aca="false">IF(24*ATAN(AD366/(AA366+AF366))/PI()&gt;0,24*ATAN(AD366/(AA366+AF366))/PI(),24*ATAN(AD366/(AA366+AF366))/PI()+24)</f>
        <v>1.3266346611626</v>
      </c>
      <c r="AI366" s="63" t="n">
        <f aca="false">IF(M366-15*AH366&gt;0,M366-15*AH366,360+M366-15*AH366)</f>
        <v>94.5061721206873</v>
      </c>
      <c r="AJ366" s="32" t="n">
        <f aca="false">0.950724+0.051818*COS(P366)+0.009531*COS(2*R366-P366)+0.007843*COS(2*R366)+0.002824*COS(2*P366)+0.000857*COS(2*R366+P366)+0.000533*COS(2*R366-Q366)*(1-0.002495*(J366-2415020)/36525)+0.000401*COS(2*R366-Q366-P366)*(1-0.002495*(J366-2415020)/36525)+0.00032*COS(P366-Q366)*(1-0.002495*(J366-2415020)/36525)-0.000271*COS(R366)</f>
        <v>0.949936818974875</v>
      </c>
      <c r="AK366" s="36" t="n">
        <f aca="false">ASIN(COS($A$10*$B$5)*COS($A$10*AG366)*COS($A$10*AI366)+SIN($A$10*$B$5)*SIN($A$10*AG366))/$A$10</f>
        <v>2.03263062984877</v>
      </c>
      <c r="AL366" s="32" t="n">
        <f aca="false">ASIN((0.9983271+0.0016764*COS($A$10*2*$B$5))*COS($A$10*AK366)*SIN($A$10*AJ366))/$A$10</f>
        <v>0.947474378158281</v>
      </c>
      <c r="AM366" s="32" t="n">
        <f aca="false">AK366-AL366</f>
        <v>1.08515625169049</v>
      </c>
      <c r="AN366" s="35" t="n">
        <f aca="false"> MOD(280.4664567 + 360007.6982779*L366/10 + 0.03032028*L366^2/100 + L366^3/49931000,360)</f>
        <v>279.41147392647</v>
      </c>
      <c r="AO366" s="32" t="n">
        <f aca="false"> AN366 + (1.9146 - 0.004817*L366 - 0.000014*L366^2)*SIN(Q366)+ (0.019993 - 0.000101*L366)*SIN(2*Q366)+ 0.00029*SIN(3*Q366)</f>
        <v>279.277788270895</v>
      </c>
      <c r="AP366" s="32" t="n">
        <f aca="false">ACOS(COS(W366-$A$10*AO366)*COS(Y366))/$A$10</f>
        <v>101.508842029665</v>
      </c>
      <c r="AQ366" s="34" t="n">
        <f aca="false">180 - AP366 -0.1468*(1-0.0549*SIN(Q366))*SIN($A$10*AP366)/(1-0.0167*SIN($A$10*AO366))</f>
        <v>78.3491104555993</v>
      </c>
      <c r="AR366" s="64" t="n">
        <f aca="false">SIN($A$10*AI366)</f>
        <v>0.9969088760347</v>
      </c>
      <c r="AS366" s="64" t="n">
        <f aca="false">COS($A$10*AI366)*SIN($A$10*$B$5) - TAN($A$10*AG366)*COS($A$10*$B$5)</f>
        <v>-0.132510805829555</v>
      </c>
      <c r="AT366" s="24" t="n">
        <f aca="false">IF(OR(AND(AR366*AS366&gt;0), AND(AR366&lt;0,AS366&gt;0)), MOD(ATAN2(AS366,AR366)/$A$10+360,360),  ATAN2(AS366,AR366)/$A$10)</f>
        <v>97.5714682857946</v>
      </c>
      <c r="AU366" s="39" t="n">
        <f aca="false"> 385000.56 + (-20905355*COS(P366) - 3699111*COS(2*R366-P366) - 2955968*COS(2*R366) - 569925*COS(2*P366) + (1-0.002516*L366)*48888*COS(Q366) - 3149*COS(2*S366)  +246158*COS(2*R366-2*P366) -(1 - 0.002516*L366)*152138*COS(2*R366-Q366-P366) -170733*COS(2*R366+P366) -(1 - 0.002516*L366)*204586*COS(2*R366-Q366) -(1 - 0.002516*L366)*129620*COS(Q366-P366)  + 108743*COS(R366) +(1-0.002516*L366)*104755*COS(Q366+P366) +10321*COS(2*R366-2*S366) +79661*COS(P366-2*S366) -34782*COS(4*R366-P366) -23210*COS(3*P366)  -21636*COS(4*R366-2*P366) +(1 - 0.002516*L366)*24208*COS(2*R366+Q366-P366) +(1 - 0.002516*L366)*30824*COS(2*R366+Q366) -8379*COS(R366-P366) -(1 - 0.002516*L366)*16675*COS(R366+Q366)  -(1 - 0.002516*L366)*12831*COS(2*R366-Q366+P366) -10445*COS(2*R366+2*P366) -11650*COS(4*R366) +14403*COS(2*R366-3*P366) -(1-0.002516*L366)*7003*COS(Q366-2*P366)  + (1 - 0.002516*L366)*10056*COS(2*R366-Q366-2*P366) +6322*COS(R366+P366) -(1 - 0.002516*L366)*(1-0.002516*L366)*9884*COS(2*R366-2*Q366) +(1-0.002516*L366)*5751*COS(Q366+2*P366) - (1-0.002516*L366)^2*4950*COS(2*R366-2*Q366-P366)  +4130*COS(2*R366+P366-2*S366) -(1-0.002516*L366)*3958*COS(4*R366-Q366-P366) +3258*COS(3*R366-P366) +(1 - 0.002516*L366)*2616*COS(2*R366+Q366+P366) -(1 - 0.002516*L366)*1897*COS(4*R366-Q366-2*P366)  -(1-0.002516*L366)^2*2117*COS(2*Q366-P366) +(1-0.002516*L366)^2*2354*COS(2*R366+2*Q366-P366) -1423*COS(4*R366+P366) -1117*COS(4*P366) -(1-0.002516*L366)*1571*COS(4*R366-Q366)  -1739*COS(R366-2*P366) -4421*COS(2*P366-2*S366) +(1-0.002516*L366)^2*1165*COS(2*Q366+P366) +8752*COS(2*R366-P366-2*S366))/1000</f>
        <v>384711.370474459</v>
      </c>
      <c r="AV366" s="54" t="n">
        <f aca="false">ATAN(0.99664719*TAN($A$10*input!$E$2))</f>
        <v>0.871010436227447</v>
      </c>
      <c r="AW366" s="54" t="n">
        <f aca="false">COS(AV366)</f>
        <v>0.644053912545845</v>
      </c>
      <c r="AX366" s="54" t="n">
        <f aca="false">0.99664719*SIN(AV366)</f>
        <v>0.762415269897027</v>
      </c>
      <c r="AY366" s="54" t="n">
        <f aca="false">6378.14/AU366</f>
        <v>0.0165790264845407</v>
      </c>
      <c r="AZ366" s="55" t="n">
        <f aca="false">M366-15*AH366</f>
        <v>94.5061721206873</v>
      </c>
      <c r="BA366" s="56" t="n">
        <f aca="false">COS($A$10*AG366)*SIN($A$10*AZ366)</f>
        <v>0.990657552557012</v>
      </c>
      <c r="BB366" s="56" t="n">
        <f aca="false">COS($A$10*AG366)*COS($A$10*AZ366)-AW366*AY366</f>
        <v>-0.088751606476223</v>
      </c>
      <c r="BC366" s="56" t="n">
        <f aca="false">SIN($A$10*AG366)-AX366*AY366</f>
        <v>0.0991726523777887</v>
      </c>
      <c r="BD366" s="57" t="n">
        <f aca="false">SQRT(BA366^2+BB366^2+BC366^2)</f>
        <v>0.999557126466519</v>
      </c>
      <c r="BE366" s="58" t="n">
        <f aca="false">AU366*BD366</f>
        <v>384540.991990446</v>
      </c>
    </row>
    <row r="367" customFormat="false" ht="15" hidden="false" customHeight="false" outlineLevel="0" collapsed="false">
      <c r="A367" s="22"/>
      <c r="D367" s="41" t="n">
        <f aca="false">K367-INT(275*E367/9)+IF($A$8="common year",2,1)*INT((E367+9)/12)+30</f>
        <v>1</v>
      </c>
      <c r="E367" s="41" t="n">
        <f aca="false">IF(K367&lt;32,1,INT(9*(IF($A$8="common year",2,1)+K367)/275+0.98))</f>
        <v>13</v>
      </c>
      <c r="F367" s="42" t="n">
        <f aca="false">AM367</f>
        <v>12.3153195913026</v>
      </c>
      <c r="G367" s="60" t="n">
        <f aca="false">F367+1.02/(TAN($A$10*(F367+10.3/(F367+5.11)))*60)</f>
        <v>12.3895073276908</v>
      </c>
      <c r="H367" s="43" t="n">
        <f aca="false">100*(1+COS($A$10*AQ367))/2</f>
        <v>69.9324768550465</v>
      </c>
      <c r="I367" s="43" t="n">
        <f aca="false">IF(AI367&gt;180,AT367-180,AT367+180)</f>
        <v>273.079081126153</v>
      </c>
      <c r="J367" s="61" t="n">
        <f aca="false">$J$2+K366</f>
        <v>2459945.5</v>
      </c>
      <c r="K367" s="21" t="n">
        <v>366</v>
      </c>
      <c r="L367" s="62" t="n">
        <f aca="false">(J367-2451545)/36525</f>
        <v>0.229993155373032</v>
      </c>
      <c r="M367" s="63" t="n">
        <f aca="false">MOD(280.46061837+360.98564736629*(J367-2451545)+0.000387933*L367^2-L367^3/38710000+$B$7,360)</f>
        <v>115.391339409165</v>
      </c>
      <c r="N367" s="30" t="n">
        <f aca="false">0.606433+1336.855225*L367 - INT(0.606433+1336.855225*L367)</f>
        <v>0.0739844746748872</v>
      </c>
      <c r="O367" s="35" t="n">
        <f aca="false">22640*SIN(P367)-4586*SIN(P367-2*R367)+2370*SIN(2*R367)+769*SIN(2*P367)-668*SIN(Q367)-412*SIN(2*S367)-212*SIN(2*P367-2*R367)-206*SIN(P367+Q367-2*R367)+192*SIN(P367+2*R367)-165*SIN(Q367-2*R367)-125*SIN(R367)-110*SIN(P367+Q367)+148*SIN(P367-Q367)-55*SIN(2*S367-2*R367)</f>
        <v>25291.289188788</v>
      </c>
      <c r="P367" s="32" t="n">
        <f aca="false">2*PI()*(0.374897+1325.55241*L367 - INT(0.374897+1325.55241*L367))</f>
        <v>1.52604992034067</v>
      </c>
      <c r="Q367" s="36" t="n">
        <f aca="false">2*PI()*(0.993133+99.997361*L367 - INT(0.993133+99.997361*L367))</f>
        <v>6.23192447622254</v>
      </c>
      <c r="R367" s="36" t="n">
        <f aca="false">2*PI()*(0.827361+1236.853086*L367 - INT(0.827361+1236.853086*L367))</f>
        <v>1.85419928705539</v>
      </c>
      <c r="S367" s="36" t="n">
        <f aca="false">2*PI()*(0.259086+1342.227825*L367 - INT(0.259086+1342.227825*L367))</f>
        <v>6.04630106069918</v>
      </c>
      <c r="T367" s="36" t="n">
        <f aca="false">S367+(O367+412*SIN(2*S367)+541*SIN(Q367))/206264.8062</f>
        <v>6.1678709862596</v>
      </c>
      <c r="U367" s="36" t="n">
        <f aca="false">S367-2*R367</f>
        <v>2.3379024865884</v>
      </c>
      <c r="V367" s="34" t="n">
        <f aca="false">-526*SIN(U367)+44*SIN(P367+U367)-31*SIN(-P367+U367)-23*SIN(Q367+U367)+11*SIN(-Q367+U367)-25*SIN(-2*P367+S367)+21*SIN(-P367+S367)</f>
        <v>-464.384280673817</v>
      </c>
      <c r="W367" s="36" t="n">
        <f aca="false">2*PI()*(N367+O367/1296000-INT(N367+O367/1296000))</f>
        <v>0.587473794352873</v>
      </c>
      <c r="X367" s="35" t="n">
        <f aca="false">W367*180/PI()</f>
        <v>33.6597689909561</v>
      </c>
      <c r="Y367" s="36" t="n">
        <f aca="false">(18520*SIN(T367)+V367)/206264.8062</f>
        <v>-0.0125822512597559</v>
      </c>
      <c r="Z367" s="36" t="n">
        <f aca="false">Y367*180/PI()</f>
        <v>-0.720909893957177</v>
      </c>
      <c r="AA367" s="36" t="n">
        <f aca="false">COS(Y367)*COS(W367)</f>
        <v>0.832277624002123</v>
      </c>
      <c r="AB367" s="36" t="n">
        <f aca="false">COS(Y367)*SIN(W367)</f>
        <v>0.554216250116127</v>
      </c>
      <c r="AC367" s="36" t="n">
        <f aca="false">SIN(Y367)</f>
        <v>-0.0125819192732951</v>
      </c>
      <c r="AD367" s="36" t="n">
        <f aca="false">COS($A$10*(23.4393-46.815*L367/3600))*AB367-SIN($A$10*(23.4393-46.815*L367/3600))*AC367</f>
        <v>0.513499140203433</v>
      </c>
      <c r="AE367" s="36" t="n">
        <f aca="false">SIN($A$10*(23.4393-46.815*L367/3600))*AB367+COS($A$10*(23.4393-46.815*L367/3600))*AC367</f>
        <v>0.208884153529453</v>
      </c>
      <c r="AF367" s="36" t="n">
        <f aca="false">SQRT(1-AE367*AE367)</f>
        <v>0.977940392050704</v>
      </c>
      <c r="AG367" s="35" t="n">
        <f aca="false">ATAN(AE367/AF367)/$A$10</f>
        <v>12.0569688119646</v>
      </c>
      <c r="AH367" s="36" t="n">
        <f aca="false">IF(24*ATAN(AD367/(AA367+AF367))/PI()&gt;0,24*ATAN(AD367/(AA367+AF367))/PI(),24*ATAN(AD367/(AA367+AF367))/PI()+24)</f>
        <v>2.11158535758404</v>
      </c>
      <c r="AI367" s="63" t="n">
        <f aca="false">IF(M367-15*AH367&gt;0,M367-15*AH367,360+M367-15*AH367)</f>
        <v>83.7175590454044</v>
      </c>
      <c r="AJ367" s="32" t="n">
        <f aca="false">0.950724+0.051818*COS(P367)+0.009531*COS(2*R367-P367)+0.007843*COS(2*R367)+0.002824*COS(2*P367)+0.000857*COS(2*R367+P367)+0.000533*COS(2*R367-Q367)*(1-0.002495*(J367-2415020)/36525)+0.000401*COS(2*R367-Q367-P367)*(1-0.002495*(J367-2415020)/36525)+0.00032*COS(P367-Q367)*(1-0.002495*(J367-2415020)/36525)-0.000271*COS(R367)</f>
        <v>0.937962564864603</v>
      </c>
      <c r="AK367" s="36" t="n">
        <f aca="false">ASIN(COS($A$10*$B$5)*COS($A$10*AG367)*COS($A$10*AI367)+SIN($A$10*$B$5)*SIN($A$10*AG367))/$A$10</f>
        <v>13.2266050250762</v>
      </c>
      <c r="AL367" s="32" t="n">
        <f aca="false">ASIN((0.9983271+0.0016764*COS($A$10*2*$B$5))*COS($A$10*AK367)*SIN($A$10*AJ367))/$A$10</f>
        <v>0.911285433773616</v>
      </c>
      <c r="AM367" s="32" t="n">
        <f aca="false">AK367-AL367</f>
        <v>12.3153195913026</v>
      </c>
      <c r="AN367" s="35" t="n">
        <f aca="false"> MOD(280.4664567 + 360007.6982779*L367/10 + 0.03032028*L367^2/100 + L367^3/49931000,360)</f>
        <v>280.397121290391</v>
      </c>
      <c r="AO367" s="32" t="n">
        <f aca="false"> AN367 + (1.9146 - 0.004817*L367 - 0.000014*L367^2)*SIN(Q367)+ (0.019993 - 0.000101*L367)*SIN(2*Q367)+ 0.00029*SIN(3*Q367)</f>
        <v>280.296988912449</v>
      </c>
      <c r="AP367" s="32" t="n">
        <f aca="false">ACOS(COS(W367-$A$10*AO367)*COS(Y367))/$A$10</f>
        <v>113.360821001166</v>
      </c>
      <c r="AQ367" s="34" t="n">
        <f aca="false">180 - AP367 -0.1468*(1-0.0549*SIN(Q367))*SIN($A$10*AP367)/(1-0.0167*SIN($A$10*AO367))</f>
        <v>66.5062183700674</v>
      </c>
      <c r="AR367" s="64" t="n">
        <f aca="false">SIN($A$10*AI367)</f>
        <v>0.993994538301691</v>
      </c>
      <c r="AS367" s="64" t="n">
        <f aca="false">COS($A$10*AI367)*SIN($A$10*$B$5) - TAN($A$10*AG367)*COS($A$10*$B$5)</f>
        <v>-0.0534688520255382</v>
      </c>
      <c r="AT367" s="24" t="n">
        <f aca="false">IF(OR(AND(AR367*AS367&gt;0), AND(AR367&lt;0,AS367&gt;0)), MOD(ATAN2(AS367,AR367)/$A$10+360,360),  ATAN2(AS367,AR367)/$A$10)</f>
        <v>93.0790811261534</v>
      </c>
      <c r="AU367" s="39" t="n">
        <f aca="false"> 385000.56 + (-20905355*COS(P367) - 3699111*COS(2*R367-P367) - 2955968*COS(2*R367) - 569925*COS(2*P367) + (1-0.002516*L367)*48888*COS(Q367) - 3149*COS(2*S367)  +246158*COS(2*R367-2*P367) -(1 - 0.002516*L367)*152138*COS(2*R367-Q367-P367) -170733*COS(2*R367+P367) -(1 - 0.002516*L367)*204586*COS(2*R367-Q367) -(1 - 0.002516*L367)*129620*COS(Q367-P367)  + 108743*COS(R367) +(1-0.002516*L367)*104755*COS(Q367+P367) +10321*COS(2*R367-2*S367) +79661*COS(P367-2*S367) -34782*COS(4*R367-P367) -23210*COS(3*P367)  -21636*COS(4*R367-2*P367) +(1 - 0.002516*L367)*24208*COS(2*R367+Q367-P367) +(1 - 0.002516*L367)*30824*COS(2*R367+Q367) -8379*COS(R367-P367) -(1 - 0.002516*L367)*16675*COS(R367+Q367)  -(1 - 0.002516*L367)*12831*COS(2*R367-Q367+P367) -10445*COS(2*R367+2*P367) -11650*COS(4*R367) +14403*COS(2*R367-3*P367) -(1-0.002516*L367)*7003*COS(Q367-2*P367)  + (1 - 0.002516*L367)*10056*COS(2*R367-Q367-2*P367) +6322*COS(R367+P367) -(1 - 0.002516*L367)*(1-0.002516*L367)*9884*COS(2*R367-2*Q367) +(1-0.002516*L367)*5751*COS(Q367+2*P367) - (1-0.002516*L367)^2*4950*COS(2*R367-2*Q367-P367)  +4130*COS(2*R367+P367-2*S367) -(1-0.002516*L367)*3958*COS(4*R367-Q367-P367) +3258*COS(3*R367-P367) +(1 - 0.002516*L367)*2616*COS(2*R367+Q367+P367) -(1 - 0.002516*L367)*1897*COS(4*R367-Q367-2*P367)  -(1-0.002516*L367)^2*2117*COS(2*Q367-P367) +(1-0.002516*L367)^2*2354*COS(2*R367+2*Q367-P367) -1423*COS(4*R367+P367) -1117*COS(4*P367) -(1-0.002516*L367)*1571*COS(4*R367-Q367)  -1739*COS(R367-2*P367) -4421*COS(2*P367-2*S367) +(1-0.002516*L367)^2*1165*COS(2*Q367+P367) +8752*COS(2*R367-P367-2*S367))/1000</f>
        <v>389539.157000857</v>
      </c>
      <c r="AV367" s="54" t="n">
        <f aca="false">ATAN(0.99664719*TAN($A$10*input!$E$2))</f>
        <v>0.871010436227447</v>
      </c>
      <c r="AW367" s="54" t="n">
        <f aca="false">COS(AV367)</f>
        <v>0.644053912545845</v>
      </c>
      <c r="AX367" s="54" t="n">
        <f aca="false">0.99664719*SIN(AV367)</f>
        <v>0.762415269897027</v>
      </c>
      <c r="AY367" s="54" t="n">
        <f aca="false">6378.14/AU367</f>
        <v>0.0163735529159806</v>
      </c>
      <c r="AZ367" s="55" t="n">
        <f aca="false">M367-15*AH367</f>
        <v>83.7175590454044</v>
      </c>
      <c r="BA367" s="56" t="n">
        <f aca="false">COS($A$10*AG367)*SIN($A$10*AZ367)</f>
        <v>0.972067408483014</v>
      </c>
      <c r="BB367" s="56" t="n">
        <f aca="false">COS($A$10*AG367)*COS($A$10*AZ367)-AW367*AY367</f>
        <v>0.0964702665764116</v>
      </c>
      <c r="BC367" s="56" t="n">
        <f aca="false">SIN($A$10*AG367)-AX367*AY367</f>
        <v>0.196400706763842</v>
      </c>
      <c r="BD367" s="57" t="n">
        <f aca="false">SQRT(BA367^2+BB367^2+BC367^2)</f>
        <v>0.996390885438814</v>
      </c>
      <c r="BE367" s="58" t="n">
        <f aca="false">AU367*BD367</f>
        <v>388133.265557173</v>
      </c>
    </row>
    <row r="368" customFormat="false" ht="15" hidden="false" customHeight="false" outlineLevel="0" collapsed="false">
      <c r="A368" s="22"/>
      <c r="D368" s="22"/>
      <c r="F368" s="38"/>
      <c r="G368" s="22"/>
      <c r="J368" s="22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1"/>
      <c r="Y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</row>
    <row r="369" customFormat="false" ht="15" hidden="false" customHeight="false" outlineLevel="0" collapsed="false">
      <c r="A369" s="22"/>
      <c r="D369" s="22"/>
      <c r="F369" s="38"/>
      <c r="G369" s="22"/>
      <c r="J369" s="22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1"/>
      <c r="Y369" s="76" t="s">
        <v>68</v>
      </c>
      <c r="Z369" s="32" t="n">
        <f aca="false">MIN(Z2:Z367)</f>
        <v>-5.28057804125969</v>
      </c>
      <c r="AA369" s="37"/>
      <c r="AB369" s="37"/>
      <c r="AC369" s="37"/>
      <c r="AD369" s="37"/>
      <c r="AE369" s="37"/>
      <c r="AF369" s="76" t="s">
        <v>68</v>
      </c>
      <c r="AG369" s="35" t="n">
        <f aca="false">MIN(AG2:AG366)</f>
        <v>-27.5046410896826</v>
      </c>
      <c r="AH369" s="37"/>
      <c r="AI369" s="37"/>
      <c r="AJ369" s="37"/>
      <c r="AK369" s="37"/>
      <c r="AL369" s="37"/>
      <c r="AM369" s="37"/>
      <c r="AT369" s="77" t="s">
        <v>69</v>
      </c>
      <c r="AU369" s="39" t="n">
        <f aca="false">MAX(AU2:AU367)</f>
        <v>406553.24922143</v>
      </c>
      <c r="AV369" s="20" t="n">
        <f aca="false">MATCH(MAX(AU2:AU367),geo,1)</f>
        <v>180</v>
      </c>
      <c r="AW369" s="20" t="str">
        <f aca="false">INDEX(month,AV369)&amp;" / "&amp;INDEX(date,AV369)</f>
        <v>6 / 29</v>
      </c>
      <c r="BD369" s="20" t="s">
        <v>68</v>
      </c>
      <c r="BE369" s="78" t="n">
        <f aca="false">MIN(BE2:BE367)</f>
        <v>356032.577332595</v>
      </c>
      <c r="BF369" s="18" t="n">
        <f aca="false">MATCH(MIN(BE2:BE367),topo,0)</f>
        <v>166</v>
      </c>
      <c r="BG369" s="20" t="str">
        <f aca="false">INDEX(month,BF369)&amp;" / "&amp;INDEX(date,BF369)</f>
        <v>6 / 15</v>
      </c>
    </row>
    <row r="370" customFormat="false" ht="15" hidden="false" customHeight="false" outlineLevel="0" collapsed="false">
      <c r="A370" s="22"/>
      <c r="D370" s="22"/>
      <c r="F370" s="38"/>
      <c r="G370" s="22"/>
      <c r="J370" s="22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1"/>
      <c r="Y370" s="76" t="s">
        <v>69</v>
      </c>
      <c r="Z370" s="32" t="n">
        <f aca="false">MAX(Z2:Z367)</f>
        <v>5.27490317409464</v>
      </c>
      <c r="AA370" s="37"/>
      <c r="AB370" s="37"/>
      <c r="AC370" s="37"/>
      <c r="AD370" s="37"/>
      <c r="AE370" s="37"/>
      <c r="AF370" s="76" t="s">
        <v>69</v>
      </c>
      <c r="AG370" s="35" t="n">
        <f aca="false">MAX(AG3:AG367)</f>
        <v>27.4318665190328</v>
      </c>
      <c r="AH370" s="37"/>
      <c r="AI370" s="37"/>
      <c r="AJ370" s="37"/>
      <c r="AK370" s="37"/>
      <c r="AL370" s="37"/>
      <c r="AM370" s="37"/>
      <c r="AT370" s="77" t="s">
        <v>68</v>
      </c>
      <c r="AU370" s="39" t="n">
        <f aca="false">MIN(AU3:AU368)</f>
        <v>357402.676786795</v>
      </c>
      <c r="AV370" s="20" t="n">
        <f aca="false">MATCH(MIN(AU2:AU367),geo,-1)</f>
        <v>194</v>
      </c>
      <c r="AW370" s="20" t="str">
        <f aca="false">INDEX(month,AV370)&amp;" / "&amp;INDEX(date,AV370)</f>
        <v>7 / 13</v>
      </c>
      <c r="BD370" s="20" t="s">
        <v>69</v>
      </c>
      <c r="BE370" s="78" t="n">
        <f aca="false">MAX(BE2:BE367)</f>
        <v>407938.123178164</v>
      </c>
      <c r="BF370" s="18" t="n">
        <f aca="false">MATCH(MAX(BE2:BE367),topo,1)</f>
        <v>181</v>
      </c>
      <c r="BG370" s="20" t="str">
        <f aca="false">INDEX(month,BF370)&amp;" / "&amp;INDEX(date,BF370)</f>
        <v>6 / 30</v>
      </c>
    </row>
    <row r="371" customFormat="false" ht="15" hidden="false" customHeight="false" outlineLevel="0" collapsed="false">
      <c r="A371" s="22"/>
      <c r="D371" s="22"/>
      <c r="F371" s="38"/>
      <c r="G371" s="22"/>
      <c r="J371" s="22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1"/>
      <c r="Y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</row>
    <row r="372" customFormat="false" ht="15" hidden="false" customHeight="false" outlineLevel="0" collapsed="false">
      <c r="A372" s="22"/>
      <c r="D372" s="22"/>
      <c r="F372" s="38"/>
      <c r="G372" s="22"/>
      <c r="J372" s="22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1"/>
      <c r="Y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</row>
    <row r="373" customFormat="false" ht="15" hidden="false" customHeight="false" outlineLevel="0" collapsed="false">
      <c r="A373" s="22"/>
      <c r="D373" s="22"/>
      <c r="F373" s="38"/>
      <c r="G373" s="22"/>
      <c r="J373" s="22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1"/>
      <c r="Y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</row>
    <row r="374" customFormat="false" ht="15" hidden="false" customHeight="false" outlineLevel="0" collapsed="false">
      <c r="A374" s="22"/>
      <c r="D374" s="22"/>
      <c r="F374" s="38"/>
      <c r="G374" s="22"/>
      <c r="J374" s="22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1"/>
      <c r="Y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</row>
    <row r="375" customFormat="false" ht="15" hidden="false" customHeight="false" outlineLevel="0" collapsed="false">
      <c r="A375" s="22"/>
      <c r="D375" s="22"/>
      <c r="F375" s="38"/>
      <c r="G375" s="22"/>
      <c r="J375" s="22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1"/>
      <c r="Y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</row>
    <row r="376" customFormat="false" ht="15" hidden="false" customHeight="false" outlineLevel="0" collapsed="false">
      <c r="A376" s="22"/>
      <c r="D376" s="22"/>
      <c r="F376" s="38"/>
      <c r="G376" s="22"/>
      <c r="J376" s="22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1"/>
      <c r="Y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</row>
    <row r="377" customFormat="false" ht="15" hidden="false" customHeight="false" outlineLevel="0" collapsed="false">
      <c r="A377" s="22"/>
      <c r="D377" s="22"/>
      <c r="F377" s="38"/>
      <c r="G377" s="22"/>
      <c r="J377" s="22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1"/>
      <c r="Y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</row>
    <row r="378" customFormat="false" ht="15" hidden="false" customHeight="false" outlineLevel="0" collapsed="false">
      <c r="A378" s="22"/>
      <c r="D378" s="22"/>
      <c r="F378" s="38"/>
      <c r="G378" s="22"/>
      <c r="J378" s="22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1"/>
      <c r="Y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</row>
    <row r="379" customFormat="false" ht="15" hidden="false" customHeight="false" outlineLevel="0" collapsed="false">
      <c r="A379" s="22"/>
      <c r="D379" s="22"/>
      <c r="F379" s="38"/>
      <c r="G379" s="22"/>
      <c r="J379" s="22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1"/>
      <c r="Y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</row>
    <row r="380" customFormat="false" ht="15" hidden="false" customHeight="false" outlineLevel="0" collapsed="false">
      <c r="A380" s="22"/>
      <c r="D380" s="22"/>
      <c r="F380" s="38"/>
      <c r="G380" s="22"/>
      <c r="J380" s="22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1"/>
      <c r="Y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&amp;C&amp;10&amp;Kffffff&amp;A</oddHeader>
    <oddFooter>&amp;C&amp;10&amp;KffffffSeite &amp;P</oddFooter>
  </headerFooter>
  <drawing r:id="rId1"/>
  <tableParts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36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625" defaultRowHeight="17" zeroHeight="false" outlineLevelRow="0" outlineLevelCol="0"/>
  <cols>
    <col collapsed="false" customWidth="false" hidden="false" outlineLevel="0" max="1" min="1" style="22" width="9.59"/>
    <col collapsed="false" customWidth="true" hidden="false" outlineLevel="0" max="2" min="2" style="22" width="12.4"/>
    <col collapsed="false" customWidth="true" hidden="false" outlineLevel="0" max="3" min="3" style="21" width="8.57"/>
    <col collapsed="false" customWidth="true" hidden="false" outlineLevel="0" max="4" min="4" style="21" width="8.46"/>
    <col collapsed="false" customWidth="false" hidden="false" outlineLevel="0" max="5" min="5" style="21" width="9.59"/>
    <col collapsed="false" customWidth="false" hidden="false" outlineLevel="0" max="6" min="6" style="79" width="9.59"/>
    <col collapsed="false" customWidth="true" hidden="false" outlineLevel="0" max="7" min="7" style="41" width="9.36"/>
    <col collapsed="false" customWidth="false" hidden="false" outlineLevel="0" max="8" min="8" style="80" width="9.59"/>
    <col collapsed="false" customWidth="false" hidden="false" outlineLevel="0" max="64" min="9" style="22" width="9.59"/>
  </cols>
  <sheetData>
    <row r="1" customFormat="false" ht="17" hidden="false" customHeight="true" outlineLevel="0" collapsed="false">
      <c r="A1" s="40" t="str">
        <f aca="false">input!$C$1</f>
        <v>UT</v>
      </c>
      <c r="B1" s="40" t="str">
        <f aca="false">input!$D$1</f>
        <v>Year</v>
      </c>
      <c r="C1" s="11" t="str">
        <f aca="false">calc!$D$1</f>
        <v>Date</v>
      </c>
      <c r="D1" s="11" t="str">
        <f aca="false">calc!$E$1</f>
        <v>Month</v>
      </c>
      <c r="E1" s="11" t="str">
        <f aca="false">calc!$K$1</f>
        <v>Day</v>
      </c>
      <c r="F1" s="40" t="str">
        <f aca="false">calc!$G$1</f>
        <v>elevRefr</v>
      </c>
      <c r="G1" s="70" t="str">
        <f aca="false">calc!$I$1</f>
        <v>az</v>
      </c>
      <c r="H1" s="81" t="s">
        <v>19</v>
      </c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customFormat="false" ht="17" hidden="false" customHeight="true" outlineLevel="0" collapsed="false">
      <c r="A2" s="82" t="n">
        <f aca="false">input!$C$2</f>
        <v>0</v>
      </c>
      <c r="B2" s="83" t="n">
        <f aca="false">input!$D$2</f>
        <v>2022</v>
      </c>
      <c r="C2" s="21" t="n">
        <f aca="false">calc!$D$2</f>
        <v>1</v>
      </c>
      <c r="D2" s="21" t="n">
        <f aca="false">calc!$E$2</f>
        <v>1</v>
      </c>
      <c r="E2" s="21" t="n">
        <f aca="false">calc!$K$2</f>
        <v>1</v>
      </c>
      <c r="F2" s="84" t="n">
        <f aca="false">calc!$G$2</f>
        <v>-49.3298219876613</v>
      </c>
      <c r="G2" s="85" t="n">
        <f aca="false">calc!$I$2</f>
        <v>66.4928457984618</v>
      </c>
    </row>
    <row r="3" customFormat="false" ht="17" hidden="false" customHeight="true" outlineLevel="0" collapsed="false">
      <c r="A3" s="79"/>
      <c r="B3" s="79"/>
      <c r="C3" s="21" t="n">
        <f aca="false">calc!$D$3</f>
        <v>2</v>
      </c>
      <c r="D3" s="21" t="n">
        <f aca="false">calc!$E$3</f>
        <v>1</v>
      </c>
      <c r="E3" s="21" t="n">
        <f aca="false">calc!$K$3</f>
        <v>2</v>
      </c>
      <c r="F3" s="84" t="n">
        <f aca="false">calc!$G$3</f>
        <v>-59.3388229960952</v>
      </c>
      <c r="G3" s="85" t="n">
        <f aca="false">calc!$I$3</f>
        <v>49.3204342912463</v>
      </c>
      <c r="H3" s="86" t="n">
        <f aca="false">IF(ABS(G3-G2)&lt;100,G3,"")</f>
        <v>49.3204342912463</v>
      </c>
    </row>
    <row r="4" customFormat="false" ht="17" hidden="false" customHeight="true" outlineLevel="0" collapsed="false">
      <c r="A4" s="79"/>
      <c r="B4" s="9" t="str">
        <f aca="false">input!$D$3</f>
        <v>common year</v>
      </c>
      <c r="C4" s="21" t="n">
        <f aca="false">calc!$D$4</f>
        <v>3</v>
      </c>
      <c r="D4" s="21" t="n">
        <f aca="false">calc!$E$4</f>
        <v>1</v>
      </c>
      <c r="E4" s="21" t="n">
        <f aca="false">calc!$K$4</f>
        <v>3</v>
      </c>
      <c r="F4" s="84" t="n">
        <f aca="false">calc!$G$4</f>
        <v>-65.3418005270333</v>
      </c>
      <c r="G4" s="85" t="n">
        <f aca="false">calc!$I$4</f>
        <v>21.5997424780006</v>
      </c>
      <c r="H4" s="86" t="n">
        <f aca="false">IF(ABS(G4-G3)&lt;100,G4,"")</f>
        <v>21.5997424780006</v>
      </c>
    </row>
    <row r="5" customFormat="false" ht="17" hidden="false" customHeight="true" outlineLevel="0" collapsed="false">
      <c r="C5" s="21" t="n">
        <f aca="false">calc!$D$5</f>
        <v>4</v>
      </c>
      <c r="D5" s="21" t="n">
        <f aca="false">calc!$E$5</f>
        <v>1</v>
      </c>
      <c r="E5" s="21" t="n">
        <f aca="false">calc!$K$5</f>
        <v>4</v>
      </c>
      <c r="F5" s="84" t="n">
        <f aca="false">calc!$G$5</f>
        <v>-64.4337166223918</v>
      </c>
      <c r="G5" s="85" t="n">
        <f aca="false">calc!$I$5</f>
        <v>348.596737532392</v>
      </c>
      <c r="H5" s="86" t="str">
        <f aca="false">IF(ABS(G5-G4)&lt;100,G5,"")</f>
        <v/>
      </c>
    </row>
    <row r="6" customFormat="false" ht="17" hidden="false" customHeight="true" outlineLevel="0" collapsed="false">
      <c r="A6" s="40" t="str">
        <f aca="false">input!$E$1</f>
        <v>Lat.:</v>
      </c>
      <c r="B6" s="40" t="str">
        <f aca="false">input!$F$1</f>
        <v>Long.:</v>
      </c>
      <c r="C6" s="21" t="n">
        <f aca="false">calc!$D$6</f>
        <v>5</v>
      </c>
      <c r="D6" s="21" t="n">
        <f aca="false">calc!$E$6</f>
        <v>1</v>
      </c>
      <c r="E6" s="21" t="n">
        <f aca="false">calc!$K$6</f>
        <v>5</v>
      </c>
      <c r="F6" s="84" t="n">
        <f aca="false">calc!$G$6</f>
        <v>-57.4803385254453</v>
      </c>
      <c r="G6" s="85" t="n">
        <f aca="false">calc!$I$6</f>
        <v>324.261432007867</v>
      </c>
      <c r="H6" s="86" t="n">
        <f aca="false">IF(ABS(G6-G5)&lt;100,G6,"")</f>
        <v>324.261432007867</v>
      </c>
    </row>
    <row r="7" customFormat="false" ht="17" hidden="false" customHeight="true" outlineLevel="0" collapsed="false">
      <c r="A7" s="79" t="n">
        <f aca="false">input!$E$2</f>
        <v>50</v>
      </c>
      <c r="B7" s="79" t="n">
        <f aca="false">input!$F$2</f>
        <v>15</v>
      </c>
      <c r="C7" s="21" t="n">
        <f aca="false">calc!$D$7</f>
        <v>6</v>
      </c>
      <c r="D7" s="21" t="n">
        <f aca="false">calc!$E$7</f>
        <v>1</v>
      </c>
      <c r="E7" s="21" t="n">
        <f aca="false">calc!$K$7</f>
        <v>6</v>
      </c>
      <c r="F7" s="84" t="n">
        <f aca="false">calc!$G$7</f>
        <v>-47.6987443417012</v>
      </c>
      <c r="G7" s="85" t="n">
        <f aca="false">calc!$I$7</f>
        <v>309.524740759347</v>
      </c>
      <c r="H7" s="86" t="n">
        <f aca="false">IF(ABS(G7-G6)&lt;100,G7,"")</f>
        <v>309.524740759347</v>
      </c>
    </row>
    <row r="8" customFormat="false" ht="17" hidden="false" customHeight="true" outlineLevel="0" collapsed="false">
      <c r="C8" s="21" t="n">
        <f aca="false">calc!$D$8</f>
        <v>7</v>
      </c>
      <c r="D8" s="21" t="n">
        <f aca="false">calc!$E$8</f>
        <v>1</v>
      </c>
      <c r="E8" s="21" t="n">
        <f aca="false">calc!$K$8</f>
        <v>7</v>
      </c>
      <c r="F8" s="84" t="n">
        <f aca="false">calc!$G$8</f>
        <v>-36.957028401764</v>
      </c>
      <c r="G8" s="85" t="n">
        <f aca="false">calc!$I$8</f>
        <v>300.10699553417</v>
      </c>
      <c r="H8" s="86" t="n">
        <f aca="false">IF(ABS(G8-G7)&lt;100,G8,"")</f>
        <v>300.10699553417</v>
      </c>
    </row>
    <row r="9" customFormat="false" ht="17" hidden="false" customHeight="true" outlineLevel="0" collapsed="false">
      <c r="A9" s="87" t="s">
        <v>70</v>
      </c>
      <c r="C9" s="21" t="n">
        <f aca="false">calc!$D$9</f>
        <v>8</v>
      </c>
      <c r="D9" s="21" t="n">
        <f aca="false">calc!$E$9</f>
        <v>1</v>
      </c>
      <c r="E9" s="21" t="n">
        <f aca="false">calc!$K$9</f>
        <v>8</v>
      </c>
      <c r="F9" s="84" t="n">
        <f aca="false">calc!$G$9</f>
        <v>-26.014135951395</v>
      </c>
      <c r="G9" s="85" t="n">
        <f aca="false">calc!$I$9</f>
        <v>293.379762001343</v>
      </c>
      <c r="H9" s="86" t="n">
        <f aca="false">IF(ABS(G9-G8)&lt;100,G9,"")</f>
        <v>293.379762001343</v>
      </c>
    </row>
    <row r="10" customFormat="false" ht="17" hidden="false" customHeight="true" outlineLevel="0" collapsed="false">
      <c r="A10" s="88" t="s">
        <v>71</v>
      </c>
      <c r="C10" s="21" t="n">
        <f aca="false">calc!$D$10</f>
        <v>9</v>
      </c>
      <c r="D10" s="21" t="n">
        <f aca="false">calc!$E$10</f>
        <v>1</v>
      </c>
      <c r="E10" s="21" t="n">
        <f aca="false">calc!$K$10</f>
        <v>9</v>
      </c>
      <c r="F10" s="84" t="n">
        <f aca="false">calc!$G$10</f>
        <v>-15.1756621951529</v>
      </c>
      <c r="G10" s="85" t="n">
        <f aca="false">calc!$I$10</f>
        <v>288.02723817552</v>
      </c>
      <c r="H10" s="86" t="n">
        <f aca="false">IF(ABS(G10-G9)&lt;100,G10,"")</f>
        <v>288.02723817552</v>
      </c>
    </row>
    <row r="11" customFormat="false" ht="17" hidden="false" customHeight="true" outlineLevel="0" collapsed="false">
      <c r="C11" s="21" t="n">
        <f aca="false">calc!$D$11</f>
        <v>10</v>
      </c>
      <c r="D11" s="21" t="n">
        <f aca="false">calc!$E$11</f>
        <v>1</v>
      </c>
      <c r="E11" s="21" t="n">
        <f aca="false">calc!$K$11</f>
        <v>10</v>
      </c>
      <c r="F11" s="84" t="n">
        <f aca="false">calc!$G$11</f>
        <v>-4.3705725199186</v>
      </c>
      <c r="G11" s="85" t="n">
        <f aca="false">calc!$I$11</f>
        <v>283.335006105549</v>
      </c>
      <c r="H11" s="86" t="n">
        <f aca="false">IF(ABS(G11-G10)&lt;100,G11,"")</f>
        <v>283.335006105549</v>
      </c>
    </row>
    <row r="12" customFormat="false" ht="17" hidden="false" customHeight="true" outlineLevel="0" collapsed="false">
      <c r="C12" s="21" t="n">
        <f aca="false">calc!$D$12</f>
        <v>11</v>
      </c>
      <c r="D12" s="21" t="n">
        <f aca="false">calc!$E$12</f>
        <v>1</v>
      </c>
      <c r="E12" s="21" t="n">
        <f aca="false">calc!$K$12</f>
        <v>11</v>
      </c>
      <c r="F12" s="84" t="n">
        <f aca="false">calc!$G$12</f>
        <v>6.11238425298677</v>
      </c>
      <c r="G12" s="85" t="n">
        <f aca="false">calc!$I$12</f>
        <v>278.84301302947</v>
      </c>
      <c r="H12" s="86" t="n">
        <f aca="false">IF(ABS(G12-G11)&lt;100,G12,"")</f>
        <v>278.84301302947</v>
      </c>
    </row>
    <row r="13" customFormat="false" ht="17" hidden="false" customHeight="true" outlineLevel="0" collapsed="false">
      <c r="C13" s="21" t="n">
        <f aca="false">calc!$D$13</f>
        <v>12</v>
      </c>
      <c r="D13" s="21" t="n">
        <f aca="false">calc!$E$13</f>
        <v>1</v>
      </c>
      <c r="E13" s="21" t="n">
        <f aca="false">calc!$K$13</f>
        <v>12</v>
      </c>
      <c r="F13" s="84" t="n">
        <f aca="false">calc!$G$13</f>
        <v>16.2158152584534</v>
      </c>
      <c r="G13" s="85" t="n">
        <f aca="false">calc!$I$13</f>
        <v>274.176490893609</v>
      </c>
      <c r="H13" s="86" t="n">
        <f aca="false">IF(ABS(G13-G12)&lt;100,G13,"")</f>
        <v>274.176490893609</v>
      </c>
    </row>
    <row r="14" customFormat="false" ht="17" hidden="false" customHeight="true" outlineLevel="0" collapsed="false">
      <c r="C14" s="21" t="n">
        <f aca="false">calc!$D$14</f>
        <v>13</v>
      </c>
      <c r="D14" s="21" t="n">
        <f aca="false">calc!$E$14</f>
        <v>1</v>
      </c>
      <c r="E14" s="21" t="n">
        <f aca="false">calc!$K$14</f>
        <v>13</v>
      </c>
      <c r="F14" s="84" t="n">
        <f aca="false">calc!$G$14</f>
        <v>26.1201481932559</v>
      </c>
      <c r="G14" s="85" t="n">
        <f aca="false">calc!$I$14</f>
        <v>268.93771391459</v>
      </c>
      <c r="H14" s="86" t="n">
        <f aca="false">IF(ABS(G14-G13)&lt;100,G14,"")</f>
        <v>268.93771391459</v>
      </c>
    </row>
    <row r="15" customFormat="false" ht="17" hidden="false" customHeight="true" outlineLevel="0" collapsed="false">
      <c r="C15" s="21" t="n">
        <f aca="false">calc!$D$15</f>
        <v>14</v>
      </c>
      <c r="D15" s="21" t="n">
        <f aca="false">calc!$E$15</f>
        <v>1</v>
      </c>
      <c r="E15" s="21" t="n">
        <f aca="false">calc!$K$15</f>
        <v>14</v>
      </c>
      <c r="F15" s="84" t="n">
        <f aca="false">calc!$G$15</f>
        <v>35.707536594634</v>
      </c>
      <c r="G15" s="85" t="n">
        <f aca="false">calc!$I$15</f>
        <v>262.597256484658</v>
      </c>
      <c r="H15" s="86" t="n">
        <f aca="false">IF(ABS(G15-G14)&lt;100,G15,"")</f>
        <v>262.597256484658</v>
      </c>
    </row>
    <row r="16" customFormat="false" ht="17" hidden="false" customHeight="true" outlineLevel="0" collapsed="false">
      <c r="C16" s="21" t="n">
        <f aca="false">calc!$D$16</f>
        <v>15</v>
      </c>
      <c r="D16" s="21" t="n">
        <f aca="false">calc!$E$16</f>
        <v>1</v>
      </c>
      <c r="E16" s="21" t="n">
        <f aca="false">calc!$K$16</f>
        <v>15</v>
      </c>
      <c r="F16" s="84" t="n">
        <f aca="false">calc!$G$16</f>
        <v>44.795409576775</v>
      </c>
      <c r="G16" s="85" t="n">
        <f aca="false">calc!$I$16</f>
        <v>254.338937216209</v>
      </c>
      <c r="H16" s="86" t="n">
        <f aca="false">IF(ABS(G16-G15)&lt;100,G16,"")</f>
        <v>254.338937216209</v>
      </c>
    </row>
    <row r="17" customFormat="false" ht="17" hidden="false" customHeight="true" outlineLevel="0" collapsed="false">
      <c r="C17" s="21" t="n">
        <f aca="false">calc!$D$17</f>
        <v>16</v>
      </c>
      <c r="D17" s="21" t="n">
        <f aca="false">calc!$E$17</f>
        <v>1</v>
      </c>
      <c r="E17" s="21" t="n">
        <f aca="false">calc!$K$17</f>
        <v>16</v>
      </c>
      <c r="F17" s="84" t="n">
        <f aca="false">calc!$G$17</f>
        <v>52.9903294125869</v>
      </c>
      <c r="G17" s="85" t="n">
        <f aca="false">calc!$I$17</f>
        <v>242.839985664181</v>
      </c>
      <c r="H17" s="86" t="n">
        <f aca="false">IF(ABS(G17-G16)&lt;100,G17,"")</f>
        <v>242.839985664181</v>
      </c>
    </row>
    <row r="18" customFormat="false" ht="17" hidden="false" customHeight="true" outlineLevel="0" collapsed="false">
      <c r="C18" s="21" t="n">
        <f aca="false">calc!$D$18</f>
        <v>17</v>
      </c>
      <c r="D18" s="21" t="n">
        <f aca="false">calc!$E$18</f>
        <v>1</v>
      </c>
      <c r="E18" s="21" t="n">
        <f aca="false">calc!$K$18</f>
        <v>17</v>
      </c>
      <c r="F18" s="84" t="n">
        <f aca="false">calc!$G$18</f>
        <v>59.4796006045535</v>
      </c>
      <c r="G18" s="85" t="n">
        <f aca="false">calc!$I$18</f>
        <v>226.229501061822</v>
      </c>
      <c r="H18" s="86" t="n">
        <f aca="false">IF(ABS(G18-G17)&lt;100,G18,"")</f>
        <v>226.229501061822</v>
      </c>
    </row>
    <row r="19" customFormat="false" ht="17" hidden="false" customHeight="true" outlineLevel="0" collapsed="false">
      <c r="C19" s="21" t="n">
        <f aca="false">calc!$D$19</f>
        <v>18</v>
      </c>
      <c r="D19" s="21" t="n">
        <f aca="false">calc!$E$19</f>
        <v>1</v>
      </c>
      <c r="E19" s="21" t="n">
        <f aca="false">calc!$K$19</f>
        <v>18</v>
      </c>
      <c r="F19" s="84" t="n">
        <f aca="false">calc!$G$19</f>
        <v>62.866969401766</v>
      </c>
      <c r="G19" s="85" t="n">
        <f aca="false">calc!$I$19</f>
        <v>203.567470318567</v>
      </c>
      <c r="H19" s="86" t="n">
        <f aca="false">IF(ABS(G19-G18)&lt;100,G19,"")</f>
        <v>203.567470318567</v>
      </c>
    </row>
    <row r="20" customFormat="false" ht="17" hidden="false" customHeight="true" outlineLevel="0" collapsed="false">
      <c r="C20" s="21" t="n">
        <f aca="false">calc!$D$20</f>
        <v>19</v>
      </c>
      <c r="D20" s="21" t="n">
        <f aca="false">calc!$E$20</f>
        <v>1</v>
      </c>
      <c r="E20" s="21" t="n">
        <f aca="false">calc!$K$20</f>
        <v>19</v>
      </c>
      <c r="F20" s="84" t="n">
        <f aca="false">calc!$G$20</f>
        <v>61.8480041629493</v>
      </c>
      <c r="G20" s="85" t="n">
        <f aca="false">calc!$I$20</f>
        <v>178.674687245769</v>
      </c>
      <c r="H20" s="86" t="n">
        <f aca="false">IF(ABS(G20-G19)&lt;100,G20,"")</f>
        <v>178.674687245769</v>
      </c>
    </row>
    <row r="21" customFormat="false" ht="17" hidden="false" customHeight="true" outlineLevel="0" collapsed="false">
      <c r="C21" s="21" t="n">
        <f aca="false">calc!$D$21</f>
        <v>20</v>
      </c>
      <c r="D21" s="21" t="n">
        <f aca="false">calc!$E$21</f>
        <v>1</v>
      </c>
      <c r="E21" s="21" t="n">
        <f aca="false">calc!$K$21</f>
        <v>20</v>
      </c>
      <c r="F21" s="84" t="n">
        <f aca="false">calc!$G$21</f>
        <v>56.6902215668456</v>
      </c>
      <c r="G21" s="85" t="n">
        <f aca="false">calc!$I$21</f>
        <v>158.021851362998</v>
      </c>
      <c r="H21" s="86" t="n">
        <f aca="false">IF(ABS(G21-G20)&lt;100,G21,"")</f>
        <v>158.021851362998</v>
      </c>
    </row>
    <row r="22" customFormat="false" ht="17" hidden="false" customHeight="true" outlineLevel="0" collapsed="false">
      <c r="C22" s="21" t="n">
        <f aca="false">calc!$D$22</f>
        <v>21</v>
      </c>
      <c r="D22" s="21" t="n">
        <f aca="false">calc!$E$22</f>
        <v>1</v>
      </c>
      <c r="E22" s="21" t="n">
        <f aca="false">calc!$K$22</f>
        <v>21</v>
      </c>
      <c r="F22" s="84" t="n">
        <f aca="false">calc!$G$22</f>
        <v>48.8169793429534</v>
      </c>
      <c r="G22" s="85" t="n">
        <f aca="false">calc!$I$22</f>
        <v>143.312933207703</v>
      </c>
      <c r="H22" s="86" t="n">
        <f aca="false">IF(ABS(G22-G21)&lt;100,G22,"")</f>
        <v>143.312933207703</v>
      </c>
    </row>
    <row r="23" customFormat="false" ht="17" hidden="false" customHeight="true" outlineLevel="0" collapsed="false">
      <c r="C23" s="21" t="n">
        <f aca="false">calc!$D$23</f>
        <v>22</v>
      </c>
      <c r="D23" s="21" t="n">
        <f aca="false">calc!$E$23</f>
        <v>1</v>
      </c>
      <c r="E23" s="21" t="n">
        <f aca="false">calc!$K$23</f>
        <v>22</v>
      </c>
      <c r="F23" s="84" t="n">
        <f aca="false">calc!$G$23</f>
        <v>39.3981087080384</v>
      </c>
      <c r="G23" s="85" t="n">
        <f aca="false">calc!$I$23</f>
        <v>132.883807043159</v>
      </c>
      <c r="H23" s="86" t="n">
        <f aca="false">IF(ABS(G23-G22)&lt;100,G23,"")</f>
        <v>132.883807043159</v>
      </c>
    </row>
    <row r="24" customFormat="false" ht="17" hidden="false" customHeight="true" outlineLevel="0" collapsed="false">
      <c r="C24" s="21" t="n">
        <f aca="false">calc!$D$24</f>
        <v>23</v>
      </c>
      <c r="D24" s="21" t="n">
        <f aca="false">calc!$E$24</f>
        <v>1</v>
      </c>
      <c r="E24" s="21" t="n">
        <f aca="false">calc!$K$24</f>
        <v>23</v>
      </c>
      <c r="F24" s="84" t="n">
        <f aca="false">calc!$G$24</f>
        <v>29.0780175640073</v>
      </c>
      <c r="G24" s="85" t="n">
        <f aca="false">calc!$I$24</f>
        <v>125.00316931068</v>
      </c>
      <c r="H24" s="86" t="n">
        <f aca="false">IF(ABS(G24-G23)&lt;100,G24,"")</f>
        <v>125.00316931068</v>
      </c>
    </row>
    <row r="25" customFormat="false" ht="17" hidden="false" customHeight="true" outlineLevel="0" collapsed="false">
      <c r="C25" s="21" t="n">
        <f aca="false">calc!$D$25</f>
        <v>24</v>
      </c>
      <c r="D25" s="21" t="n">
        <f aca="false">calc!$E$25</f>
        <v>1</v>
      </c>
      <c r="E25" s="21" t="n">
        <f aca="false">calc!$K$25</f>
        <v>24</v>
      </c>
      <c r="F25" s="84" t="n">
        <f aca="false">calc!$G$25</f>
        <v>18.1900637063143</v>
      </c>
      <c r="G25" s="85" t="n">
        <f aca="false">calc!$I$25</f>
        <v>118.528601857523</v>
      </c>
      <c r="H25" s="86" t="n">
        <f aca="false">IF(ABS(G25-G24)&lt;100,G25,"")</f>
        <v>118.528601857523</v>
      </c>
    </row>
    <row r="26" customFormat="false" ht="17" hidden="false" customHeight="true" outlineLevel="0" collapsed="false">
      <c r="C26" s="21" t="n">
        <f aca="false">calc!$D$26</f>
        <v>25</v>
      </c>
      <c r="D26" s="21" t="n">
        <f aca="false">calc!$E$26</f>
        <v>1</v>
      </c>
      <c r="E26" s="21" t="n">
        <f aca="false">calc!$K$26</f>
        <v>25</v>
      </c>
      <c r="F26" s="84" t="n">
        <f aca="false">calc!$G$26</f>
        <v>6.95639639737056</v>
      </c>
      <c r="G26" s="85" t="n">
        <f aca="false">calc!$I$26</f>
        <v>112.71900709183</v>
      </c>
      <c r="H26" s="86" t="n">
        <f aca="false">IF(ABS(G26-G25)&lt;100,G26,"")</f>
        <v>112.71900709183</v>
      </c>
    </row>
    <row r="27" customFormat="false" ht="17" hidden="false" customHeight="true" outlineLevel="0" collapsed="false">
      <c r="C27" s="21" t="n">
        <f aca="false">calc!$D$27</f>
        <v>26</v>
      </c>
      <c r="D27" s="21" t="n">
        <f aca="false">calc!$E$27</f>
        <v>1</v>
      </c>
      <c r="E27" s="21" t="n">
        <f aca="false">calc!$K$27</f>
        <v>26</v>
      </c>
      <c r="F27" s="84" t="n">
        <f aca="false">calc!$G$27</f>
        <v>-4.71784060499879</v>
      </c>
      <c r="G27" s="85" t="n">
        <f aca="false">calc!$I$27</f>
        <v>107.020690970771</v>
      </c>
      <c r="H27" s="86" t="n">
        <f aca="false">IF(ABS(G27-G26)&lt;100,G27,"")</f>
        <v>107.020690970771</v>
      </c>
    </row>
    <row r="28" customFormat="false" ht="17" hidden="false" customHeight="true" outlineLevel="0" collapsed="false">
      <c r="C28" s="21" t="n">
        <f aca="false">calc!$D$28</f>
        <v>27</v>
      </c>
      <c r="D28" s="21" t="n">
        <f aca="false">calc!$E$28</f>
        <v>1</v>
      </c>
      <c r="E28" s="21" t="n">
        <f aca="false">calc!$K$28</f>
        <v>27</v>
      </c>
      <c r="F28" s="84" t="n">
        <f aca="false">calc!$G$28</f>
        <v>-16.5408917180133</v>
      </c>
      <c r="G28" s="85" t="n">
        <f aca="false">calc!$I$28</f>
        <v>100.907525515055</v>
      </c>
      <c r="H28" s="86" t="n">
        <f aca="false">IF(ABS(G28-G27)&lt;100,G28,"")</f>
        <v>100.907525515055</v>
      </c>
    </row>
    <row r="29" customFormat="false" ht="17" hidden="false" customHeight="true" outlineLevel="0" collapsed="false">
      <c r="C29" s="21" t="n">
        <f aca="false">calc!$D$29</f>
        <v>28</v>
      </c>
      <c r="D29" s="21" t="n">
        <f aca="false">calc!$E$29</f>
        <v>1</v>
      </c>
      <c r="E29" s="21" t="n">
        <f aca="false">calc!$K$29</f>
        <v>28</v>
      </c>
      <c r="F29" s="84" t="n">
        <f aca="false">calc!$G$29</f>
        <v>-28.1946840441268</v>
      </c>
      <c r="G29" s="85" t="n">
        <f aca="false">calc!$I$29</f>
        <v>93.7258749932274</v>
      </c>
      <c r="H29" s="86" t="n">
        <f aca="false">IF(ABS(G29-G28)&lt;100,G29,"")</f>
        <v>93.7258749932274</v>
      </c>
    </row>
    <row r="30" customFormat="false" ht="17" hidden="false" customHeight="true" outlineLevel="0" collapsed="false">
      <c r="C30" s="21" t="n">
        <f aca="false">calc!$D$30</f>
        <v>29</v>
      </c>
      <c r="D30" s="21" t="n">
        <f aca="false">calc!$E$30</f>
        <v>1</v>
      </c>
      <c r="E30" s="21" t="n">
        <f aca="false">calc!$K$30</f>
        <v>29</v>
      </c>
      <c r="F30" s="84" t="n">
        <f aca="false">calc!$G$30</f>
        <v>-39.4576025834616</v>
      </c>
      <c r="G30" s="85" t="n">
        <f aca="false">calc!$I$30</f>
        <v>84.4766976665831</v>
      </c>
      <c r="H30" s="86" t="n">
        <f aca="false">IF(ABS(G30-G29)&lt;100,G30,"")</f>
        <v>84.4766976665831</v>
      </c>
    </row>
    <row r="31" customFormat="false" ht="17" hidden="false" customHeight="true" outlineLevel="0" collapsed="false">
      <c r="C31" s="21" t="n">
        <f aca="false">calc!$D$31</f>
        <v>30</v>
      </c>
      <c r="D31" s="21" t="n">
        <f aca="false">calc!$E$31</f>
        <v>1</v>
      </c>
      <c r="E31" s="21" t="n">
        <f aca="false">calc!$K$31</f>
        <v>30</v>
      </c>
      <c r="F31" s="84" t="n">
        <f aca="false">calc!$G$31</f>
        <v>-49.6661173117332</v>
      </c>
      <c r="G31" s="85" t="n">
        <f aca="false">calc!$I$31</f>
        <v>71.4875275571152</v>
      </c>
      <c r="H31" s="86" t="n">
        <f aca="false">IF(ABS(G31-G30)&lt;100,G31,"")</f>
        <v>71.4875275571152</v>
      </c>
    </row>
    <row r="32" customFormat="false" ht="17" hidden="false" customHeight="true" outlineLevel="0" collapsed="false">
      <c r="C32" s="21" t="n">
        <f aca="false">calc!$D$32</f>
        <v>31</v>
      </c>
      <c r="D32" s="21" t="n">
        <f aca="false">calc!$E$32</f>
        <v>1</v>
      </c>
      <c r="E32" s="21" t="n">
        <f aca="false">calc!$K$32</f>
        <v>31</v>
      </c>
      <c r="F32" s="84" t="n">
        <f aca="false">calc!$G$32</f>
        <v>-57.5567653141332</v>
      </c>
      <c r="G32" s="85" t="n">
        <f aca="false">calc!$I$32</f>
        <v>52.3318475703787</v>
      </c>
      <c r="H32" s="86" t="n">
        <f aca="false">IF(ABS(G32-G31)&lt;100,G32,"")</f>
        <v>52.3318475703787</v>
      </c>
    </row>
    <row r="33" customFormat="false" ht="17" hidden="false" customHeight="true" outlineLevel="0" collapsed="false">
      <c r="C33" s="21" t="n">
        <f aca="false">calc!$D$33</f>
        <v>1</v>
      </c>
      <c r="D33" s="21" t="n">
        <f aca="false">calc!$E$33</f>
        <v>2</v>
      </c>
      <c r="E33" s="21" t="n">
        <f aca="false">calc!$K$33</f>
        <v>32</v>
      </c>
      <c r="F33" s="84" t="n">
        <f aca="false">calc!$G$33</f>
        <v>-61.1075516256654</v>
      </c>
      <c r="G33" s="85" t="n">
        <f aca="false">calc!$I$33</f>
        <v>26.2587609898919</v>
      </c>
      <c r="H33" s="86" t="n">
        <f aca="false">IF(ABS(G33-G32)&lt;100,G33,"")</f>
        <v>26.2587609898919</v>
      </c>
    </row>
    <row r="34" customFormat="false" ht="17" hidden="false" customHeight="true" outlineLevel="0" collapsed="false">
      <c r="C34" s="21" t="n">
        <f aca="false">calc!$D$34</f>
        <v>2</v>
      </c>
      <c r="D34" s="21" t="n">
        <f aca="false">calc!$E$34</f>
        <v>2</v>
      </c>
      <c r="E34" s="21" t="n">
        <f aca="false">calc!$K$34</f>
        <v>33</v>
      </c>
      <c r="F34" s="84" t="n">
        <f aca="false">calc!$G$34</f>
        <v>-58.9634227441447</v>
      </c>
      <c r="G34" s="85" t="n">
        <f aca="false">calc!$I$34</f>
        <v>359.458282246156</v>
      </c>
      <c r="H34" s="86" t="str">
        <f aca="false">IF(ABS(G34-G33)&lt;100,G34,"")</f>
        <v/>
      </c>
    </row>
    <row r="35" customFormat="false" ht="17" hidden="false" customHeight="true" outlineLevel="0" collapsed="false">
      <c r="C35" s="21" t="n">
        <f aca="false">calc!$D$35</f>
        <v>3</v>
      </c>
      <c r="D35" s="21" t="n">
        <f aca="false">calc!$E$35</f>
        <v>2</v>
      </c>
      <c r="E35" s="21" t="n">
        <f aca="false">calc!$K$35</f>
        <v>34</v>
      </c>
      <c r="F35" s="84" t="n">
        <f aca="false">calc!$G$35</f>
        <v>-52.364756596703</v>
      </c>
      <c r="G35" s="85" t="n">
        <f aca="false">calc!$I$35</f>
        <v>339.111824620042</v>
      </c>
      <c r="H35" s="86" t="n">
        <f aca="false">IF(ABS(G35-G34)&lt;100,G35,"")</f>
        <v>339.111824620042</v>
      </c>
    </row>
    <row r="36" customFormat="false" ht="17" hidden="false" customHeight="true" outlineLevel="0" collapsed="false">
      <c r="C36" s="21" t="n">
        <f aca="false">calc!$D$36</f>
        <v>4</v>
      </c>
      <c r="D36" s="21" t="n">
        <f aca="false">calc!$E$36</f>
        <v>2</v>
      </c>
      <c r="E36" s="21" t="n">
        <f aca="false">calc!$K$36</f>
        <v>35</v>
      </c>
      <c r="F36" s="84" t="n">
        <f aca="false">calc!$G$36</f>
        <v>-43.4751173689694</v>
      </c>
      <c r="G36" s="85" t="n">
        <f aca="false">calc!$I$36</f>
        <v>325.285963301752</v>
      </c>
      <c r="H36" s="86" t="n">
        <f aca="false">IF(ABS(G36-G35)&lt;100,G36,"")</f>
        <v>325.285963301752</v>
      </c>
    </row>
    <row r="37" customFormat="false" ht="17" hidden="false" customHeight="true" outlineLevel="0" collapsed="false">
      <c r="C37" s="21" t="n">
        <f aca="false">calc!$D$37</f>
        <v>5</v>
      </c>
      <c r="D37" s="21" t="n">
        <f aca="false">calc!$E$37</f>
        <v>2</v>
      </c>
      <c r="E37" s="21" t="n">
        <f aca="false">calc!$K$37</f>
        <v>36</v>
      </c>
      <c r="F37" s="84" t="n">
        <f aca="false">calc!$G$37</f>
        <v>-33.6582211725242</v>
      </c>
      <c r="G37" s="85" t="n">
        <f aca="false">calc!$I$37</f>
        <v>315.544331063737</v>
      </c>
      <c r="H37" s="86" t="n">
        <f aca="false">IF(ABS(G37-G36)&lt;100,G37,"")</f>
        <v>315.544331063737</v>
      </c>
    </row>
    <row r="38" customFormat="false" ht="17" hidden="false" customHeight="true" outlineLevel="0" collapsed="false">
      <c r="C38" s="21" t="n">
        <f aca="false">calc!$D$38</f>
        <v>6</v>
      </c>
      <c r="D38" s="21" t="n">
        <f aca="false">calc!$E$38</f>
        <v>2</v>
      </c>
      <c r="E38" s="21" t="n">
        <f aca="false">calc!$K$38</f>
        <v>37</v>
      </c>
      <c r="F38" s="84" t="n">
        <f aca="false">calc!$G$38</f>
        <v>-23.5701739379045</v>
      </c>
      <c r="G38" s="85" t="n">
        <f aca="false">calc!$I$38</f>
        <v>308.092398316821</v>
      </c>
      <c r="H38" s="86" t="n">
        <f aca="false">IF(ABS(G38-G37)&lt;100,G38,"")</f>
        <v>308.092398316821</v>
      </c>
    </row>
    <row r="39" customFormat="false" ht="17" hidden="false" customHeight="true" outlineLevel="0" collapsed="false">
      <c r="C39" s="21" t="n">
        <f aca="false">calc!$D$39</f>
        <v>7</v>
      </c>
      <c r="D39" s="21" t="n">
        <f aca="false">calc!$E$39</f>
        <v>2</v>
      </c>
      <c r="E39" s="21" t="n">
        <f aca="false">calc!$K$39</f>
        <v>38</v>
      </c>
      <c r="F39" s="84" t="n">
        <f aca="false">calc!$G$39</f>
        <v>-13.5156434468278</v>
      </c>
      <c r="G39" s="85" t="n">
        <f aca="false">calc!$I$39</f>
        <v>301.873520854573</v>
      </c>
      <c r="H39" s="86" t="n">
        <f aca="false">IF(ABS(G39-G38)&lt;100,G39,"")</f>
        <v>301.873520854573</v>
      </c>
    </row>
    <row r="40" customFormat="false" ht="17" hidden="false" customHeight="true" outlineLevel="0" collapsed="false">
      <c r="C40" s="21" t="n">
        <f aca="false">calc!$D$40</f>
        <v>8</v>
      </c>
      <c r="D40" s="21" t="n">
        <f aca="false">calc!$E$40</f>
        <v>2</v>
      </c>
      <c r="E40" s="21" t="n">
        <f aca="false">calc!$K$40</f>
        <v>39</v>
      </c>
      <c r="F40" s="84" t="n">
        <f aca="false">calc!$G$40</f>
        <v>-3.18859956442428</v>
      </c>
      <c r="G40" s="85" t="n">
        <f aca="false">calc!$I$40</f>
        <v>296.240141736393</v>
      </c>
      <c r="H40" s="86" t="n">
        <f aca="false">IF(ABS(G40-G39)&lt;100,G40,"")</f>
        <v>296.240141736393</v>
      </c>
    </row>
    <row r="41" customFormat="false" ht="17" hidden="false" customHeight="true" outlineLevel="0" collapsed="false">
      <c r="C41" s="21" t="n">
        <f aca="false">calc!$D$41</f>
        <v>9</v>
      </c>
      <c r="D41" s="21" t="n">
        <f aca="false">calc!$E$41</f>
        <v>2</v>
      </c>
      <c r="E41" s="21" t="n">
        <f aca="false">calc!$K$41</f>
        <v>40</v>
      </c>
      <c r="F41" s="84" t="n">
        <f aca="false">calc!$G$41</f>
        <v>6.34598562749216</v>
      </c>
      <c r="G41" s="85" t="n">
        <f aca="false">calc!$I$41</f>
        <v>290.735480482666</v>
      </c>
      <c r="H41" s="86" t="n">
        <f aca="false">IF(ABS(G41-G40)&lt;100,G41,"")</f>
        <v>290.735480482666</v>
      </c>
    </row>
    <row r="42" customFormat="false" ht="17" hidden="false" customHeight="true" outlineLevel="0" collapsed="false">
      <c r="C42" s="21" t="n">
        <f aca="false">calc!$D$42</f>
        <v>10</v>
      </c>
      <c r="D42" s="21" t="n">
        <f aca="false">calc!$E$42</f>
        <v>2</v>
      </c>
      <c r="E42" s="21" t="n">
        <f aca="false">calc!$K$42</f>
        <v>41</v>
      </c>
      <c r="F42" s="84" t="n">
        <f aca="false">calc!$G$42</f>
        <v>15.7570064473944</v>
      </c>
      <c r="G42" s="85" t="n">
        <f aca="false">calc!$I$42</f>
        <v>284.965279155465</v>
      </c>
      <c r="H42" s="86" t="n">
        <f aca="false">IF(ABS(G42-G41)&lt;100,G42,"")</f>
        <v>284.965279155465</v>
      </c>
    </row>
    <row r="43" customFormat="false" ht="17" hidden="false" customHeight="true" outlineLevel="0" collapsed="false">
      <c r="C43" s="21" t="n">
        <f aca="false">calc!$D$43</f>
        <v>11</v>
      </c>
      <c r="D43" s="21" t="n">
        <f aca="false">calc!$E$43</f>
        <v>2</v>
      </c>
      <c r="E43" s="21" t="n">
        <f aca="false">calc!$K$43</f>
        <v>42</v>
      </c>
      <c r="F43" s="84" t="n">
        <f aca="false">calc!$G$43</f>
        <v>24.929382475301</v>
      </c>
      <c r="G43" s="85" t="n">
        <f aca="false">calc!$I$43</f>
        <v>278.506657408645</v>
      </c>
      <c r="H43" s="86" t="n">
        <f aca="false">IF(ABS(G43-G42)&lt;100,G43,"")</f>
        <v>278.506657408645</v>
      </c>
    </row>
    <row r="44" customFormat="false" ht="17" hidden="false" customHeight="true" outlineLevel="0" collapsed="false">
      <c r="C44" s="21" t="n">
        <f aca="false">calc!$D$44</f>
        <v>12</v>
      </c>
      <c r="D44" s="21" t="n">
        <f aca="false">calc!$E$44</f>
        <v>2</v>
      </c>
      <c r="E44" s="21" t="n">
        <f aca="false">calc!$K$44</f>
        <v>43</v>
      </c>
      <c r="F44" s="84" t="n">
        <f aca="false">calc!$G$44</f>
        <v>33.7036881226071</v>
      </c>
      <c r="G44" s="85" t="n">
        <f aca="false">calc!$I$44</f>
        <v>270.820546715974</v>
      </c>
      <c r="H44" s="86" t="n">
        <f aca="false">IF(ABS(G44-G43)&lt;100,G44,"")</f>
        <v>270.820546715974</v>
      </c>
    </row>
    <row r="45" customFormat="false" ht="17" hidden="false" customHeight="true" outlineLevel="0" collapsed="false">
      <c r="C45" s="21" t="n">
        <f aca="false">calc!$D$45</f>
        <v>13</v>
      </c>
      <c r="D45" s="21" t="n">
        <f aca="false">calc!$E$45</f>
        <v>2</v>
      </c>
      <c r="E45" s="21" t="n">
        <f aca="false">calc!$K$45</f>
        <v>44</v>
      </c>
      <c r="F45" s="84" t="n">
        <f aca="false">calc!$G$45</f>
        <v>41.8333083808819</v>
      </c>
      <c r="G45" s="85" t="n">
        <f aca="false">calc!$I$45</f>
        <v>261.156637313886</v>
      </c>
      <c r="H45" s="86" t="n">
        <f aca="false">IF(ABS(G45-G44)&lt;100,G45,"")</f>
        <v>261.156637313886</v>
      </c>
    </row>
    <row r="46" customFormat="false" ht="17" hidden="false" customHeight="true" outlineLevel="0" collapsed="false">
      <c r="C46" s="21" t="n">
        <f aca="false">calc!$D$46</f>
        <v>14</v>
      </c>
      <c r="D46" s="21" t="n">
        <f aca="false">calc!$E$46</f>
        <v>2</v>
      </c>
      <c r="E46" s="21" t="n">
        <f aca="false">calc!$K$46</f>
        <v>45</v>
      </c>
      <c r="F46" s="84" t="n">
        <f aca="false">calc!$G$46</f>
        <v>48.8561120995539</v>
      </c>
      <c r="G46" s="85" t="n">
        <f aca="false">calc!$I$46</f>
        <v>248.509291212037</v>
      </c>
      <c r="H46" s="86" t="n">
        <f aca="false">IF(ABS(G46-G45)&lt;100,G46,"")</f>
        <v>248.509291212037</v>
      </c>
    </row>
    <row r="47" customFormat="false" ht="17" hidden="false" customHeight="true" outlineLevel="0" collapsed="false">
      <c r="C47" s="21" t="n">
        <f aca="false">calc!$D$47</f>
        <v>15</v>
      </c>
      <c r="D47" s="21" t="n">
        <f aca="false">calc!$E$47</f>
        <v>2</v>
      </c>
      <c r="E47" s="21" t="n">
        <f aca="false">calc!$K$47</f>
        <v>46</v>
      </c>
      <c r="F47" s="84" t="n">
        <f aca="false">calc!$G$47</f>
        <v>53.9776033370159</v>
      </c>
      <c r="G47" s="85" t="n">
        <f aca="false">calc!$I$47</f>
        <v>231.920628564857</v>
      </c>
      <c r="H47" s="86" t="n">
        <f aca="false">IF(ABS(G47-G46)&lt;100,G47,"")</f>
        <v>231.920628564857</v>
      </c>
    </row>
    <row r="48" customFormat="false" ht="17" hidden="false" customHeight="true" outlineLevel="0" collapsed="false">
      <c r="C48" s="21" t="n">
        <f aca="false">calc!$D$48</f>
        <v>16</v>
      </c>
      <c r="D48" s="21" t="n">
        <f aca="false">calc!$E$48</f>
        <v>2</v>
      </c>
      <c r="E48" s="21" t="n">
        <f aca="false">calc!$K$48</f>
        <v>47</v>
      </c>
      <c r="F48" s="84" t="n">
        <f aca="false">calc!$G$48</f>
        <v>56.1341699503574</v>
      </c>
      <c r="G48" s="85" t="n">
        <f aca="false">calc!$I$48</f>
        <v>211.705488369908</v>
      </c>
      <c r="H48" s="86" t="n">
        <f aca="false">IF(ABS(G48-G47)&lt;100,G48,"")</f>
        <v>211.705488369908</v>
      </c>
    </row>
    <row r="49" customFormat="false" ht="17" hidden="false" customHeight="true" outlineLevel="0" collapsed="false">
      <c r="C49" s="21" t="n">
        <f aca="false">calc!$D$49</f>
        <v>17</v>
      </c>
      <c r="D49" s="21" t="n">
        <f aca="false">calc!$E$49</f>
        <v>2</v>
      </c>
      <c r="E49" s="21" t="n">
        <f aca="false">calc!$K$49</f>
        <v>48</v>
      </c>
      <c r="F49" s="84" t="n">
        <f aca="false">calc!$G$49</f>
        <v>54.5876313224306</v>
      </c>
      <c r="G49" s="85" t="n">
        <f aca="false">calc!$I$49</f>
        <v>190.743329283111</v>
      </c>
      <c r="H49" s="86" t="n">
        <f aca="false">IF(ABS(G49-G48)&lt;100,G49,"")</f>
        <v>190.743329283111</v>
      </c>
    </row>
    <row r="50" customFormat="false" ht="17" hidden="false" customHeight="true" outlineLevel="0" collapsed="false">
      <c r="C50" s="21" t="n">
        <f aca="false">calc!$D$50</f>
        <v>18</v>
      </c>
      <c r="D50" s="21" t="n">
        <f aca="false">calc!$E$50</f>
        <v>2</v>
      </c>
      <c r="E50" s="21" t="n">
        <f aca="false">calc!$K$50</f>
        <v>49</v>
      </c>
      <c r="F50" s="84" t="n">
        <f aca="false">calc!$G$50</f>
        <v>49.6092000118778</v>
      </c>
      <c r="G50" s="85" t="n">
        <f aca="false">calc!$I$50</f>
        <v>172.541755565837</v>
      </c>
      <c r="H50" s="86" t="n">
        <f aca="false">IF(ABS(G50-G49)&lt;100,G50,"")</f>
        <v>172.541755565837</v>
      </c>
    </row>
    <row r="51" customFormat="false" ht="17" hidden="false" customHeight="true" outlineLevel="0" collapsed="false">
      <c r="C51" s="21" t="n">
        <f aca="false">calc!$D$51</f>
        <v>19</v>
      </c>
      <c r="D51" s="21" t="n">
        <f aca="false">calc!$E$51</f>
        <v>2</v>
      </c>
      <c r="E51" s="21" t="n">
        <f aca="false">calc!$K$51</f>
        <v>50</v>
      </c>
      <c r="F51" s="84" t="n">
        <f aca="false">calc!$G$51</f>
        <v>42.1604980785081</v>
      </c>
      <c r="G51" s="85" t="n">
        <f aca="false">calc!$I$51</f>
        <v>158.239526611691</v>
      </c>
      <c r="H51" s="86" t="n">
        <f aca="false">IF(ABS(G51-G50)&lt;100,G51,"")</f>
        <v>158.239526611691</v>
      </c>
    </row>
    <row r="52" customFormat="false" ht="17" hidden="false" customHeight="true" outlineLevel="0" collapsed="false">
      <c r="C52" s="21" t="n">
        <f aca="false">calc!$D$52</f>
        <v>20</v>
      </c>
      <c r="D52" s="21" t="n">
        <f aca="false">calc!$E$52</f>
        <v>2</v>
      </c>
      <c r="E52" s="21" t="n">
        <f aca="false">calc!$K$52</f>
        <v>51</v>
      </c>
      <c r="F52" s="84" t="n">
        <f aca="false">calc!$G$52</f>
        <v>33.1583623313418</v>
      </c>
      <c r="G52" s="85" t="n">
        <f aca="false">calc!$I$52</f>
        <v>147.102477451481</v>
      </c>
      <c r="H52" s="86" t="n">
        <f aca="false">IF(ABS(G52-G51)&lt;100,G52,"")</f>
        <v>147.102477451481</v>
      </c>
    </row>
    <row r="53" customFormat="false" ht="17" hidden="false" customHeight="true" outlineLevel="0" collapsed="false">
      <c r="C53" s="21" t="n">
        <f aca="false">calc!$D$53</f>
        <v>21</v>
      </c>
      <c r="D53" s="21" t="n">
        <f aca="false">calc!$E$53</f>
        <v>2</v>
      </c>
      <c r="E53" s="21" t="n">
        <f aca="false">calc!$K$53</f>
        <v>52</v>
      </c>
      <c r="F53" s="84" t="n">
        <f aca="false">calc!$G$53</f>
        <v>23.2288536637268</v>
      </c>
      <c r="G53" s="85" t="n">
        <f aca="false">calc!$I$53</f>
        <v>138.039183426894</v>
      </c>
      <c r="H53" s="86" t="n">
        <f aca="false">IF(ABS(G53-G52)&lt;100,G53,"")</f>
        <v>138.039183426894</v>
      </c>
    </row>
    <row r="54" customFormat="false" ht="17" hidden="false" customHeight="true" outlineLevel="0" collapsed="false">
      <c r="C54" s="21" t="n">
        <f aca="false">calc!$D$54</f>
        <v>22</v>
      </c>
      <c r="D54" s="21" t="n">
        <f aca="false">calc!$E$54</f>
        <v>2</v>
      </c>
      <c r="E54" s="21" t="n">
        <f aca="false">calc!$K$54</f>
        <v>53</v>
      </c>
      <c r="F54" s="84" t="n">
        <f aca="false">calc!$G$54</f>
        <v>12.7795319757351</v>
      </c>
      <c r="G54" s="85" t="n">
        <f aca="false">calc!$I$54</f>
        <v>130.157801487152</v>
      </c>
      <c r="H54" s="86" t="n">
        <f aca="false">IF(ABS(G54-G53)&lt;100,G54,"")</f>
        <v>130.157801487152</v>
      </c>
    </row>
    <row r="55" customFormat="false" ht="17" hidden="false" customHeight="true" outlineLevel="0" collapsed="false">
      <c r="C55" s="21" t="n">
        <f aca="false">calc!$D$55</f>
        <v>23</v>
      </c>
      <c r="D55" s="21" t="n">
        <f aca="false">calc!$E$55</f>
        <v>2</v>
      </c>
      <c r="E55" s="21" t="n">
        <f aca="false">calc!$K$55</f>
        <v>54</v>
      </c>
      <c r="F55" s="84" t="n">
        <f aca="false">calc!$G$55</f>
        <v>2.23681097725756</v>
      </c>
      <c r="G55" s="85" t="n">
        <f aca="false">calc!$I$55</f>
        <v>122.779508551975</v>
      </c>
      <c r="H55" s="86" t="n">
        <f aca="false">IF(ABS(G55-G54)&lt;100,G55,"")</f>
        <v>122.779508551975</v>
      </c>
    </row>
    <row r="56" customFormat="false" ht="17" hidden="false" customHeight="true" outlineLevel="0" collapsed="false">
      <c r="C56" s="21" t="n">
        <f aca="false">calc!$D$56</f>
        <v>24</v>
      </c>
      <c r="D56" s="21" t="n">
        <f aca="false">calc!$E$56</f>
        <v>2</v>
      </c>
      <c r="E56" s="21" t="n">
        <f aca="false">calc!$K$56</f>
        <v>55</v>
      </c>
      <c r="F56" s="84" t="n">
        <f aca="false">calc!$G$56</f>
        <v>-8.94675335490575</v>
      </c>
      <c r="G56" s="85" t="n">
        <f aca="false">calc!$I$56</f>
        <v>115.333068582204</v>
      </c>
      <c r="H56" s="86" t="n">
        <f aca="false">IF(ABS(G56-G55)&lt;100,G56,"")</f>
        <v>115.333068582204</v>
      </c>
    </row>
    <row r="57" customFormat="false" ht="17" hidden="false" customHeight="true" outlineLevel="0" collapsed="false">
      <c r="C57" s="21" t="n">
        <f aca="false">calc!$D$57</f>
        <v>25</v>
      </c>
      <c r="D57" s="21" t="n">
        <f aca="false">calc!$E$57</f>
        <v>2</v>
      </c>
      <c r="E57" s="21" t="n">
        <f aca="false">calc!$K$57</f>
        <v>56</v>
      </c>
      <c r="F57" s="84" t="n">
        <f aca="false">calc!$G$57</f>
        <v>-19.5611625048865</v>
      </c>
      <c r="G57" s="85" t="n">
        <f aca="false">calc!$I$57</f>
        <v>107.24259143297</v>
      </c>
      <c r="H57" s="86" t="n">
        <f aca="false">IF(ABS(G57-G56)&lt;100,G57,"")</f>
        <v>107.24259143297</v>
      </c>
    </row>
    <row r="58" customFormat="false" ht="17" hidden="false" customHeight="true" outlineLevel="0" collapsed="false">
      <c r="C58" s="21" t="n">
        <f aca="false">calc!$D$58</f>
        <v>26</v>
      </c>
      <c r="D58" s="21" t="n">
        <f aca="false">calc!$E$58</f>
        <v>2</v>
      </c>
      <c r="E58" s="21" t="n">
        <f aca="false">calc!$K$58</f>
        <v>57</v>
      </c>
      <c r="F58" s="84" t="n">
        <f aca="false">calc!$G$58</f>
        <v>-29.7325302723356</v>
      </c>
      <c r="G58" s="85" t="n">
        <f aca="false">calc!$I$58</f>
        <v>97.8163631928754</v>
      </c>
      <c r="H58" s="86" t="n">
        <f aca="false">IF(ABS(G58-G57)&lt;100,G58,"")</f>
        <v>97.8163631928754</v>
      </c>
    </row>
    <row r="59" customFormat="false" ht="17" hidden="false" customHeight="true" outlineLevel="0" collapsed="false">
      <c r="C59" s="21" t="n">
        <f aca="false">calc!$D$59</f>
        <v>27</v>
      </c>
      <c r="D59" s="21" t="n">
        <f aca="false">calc!$E$59</f>
        <v>2</v>
      </c>
      <c r="E59" s="21" t="n">
        <f aca="false">calc!$K$59</f>
        <v>58</v>
      </c>
      <c r="F59" s="84" t="n">
        <f aca="false">calc!$G$59</f>
        <v>-38.9917017684456</v>
      </c>
      <c r="G59" s="85" t="n">
        <f aca="false">calc!$I$59</f>
        <v>86.1497927170507</v>
      </c>
      <c r="H59" s="86" t="n">
        <f aca="false">IF(ABS(G59-G58)&lt;100,G59,"")</f>
        <v>86.1497927170507</v>
      </c>
    </row>
    <row r="60" customFormat="false" ht="17" hidden="false" customHeight="true" outlineLevel="0" collapsed="false">
      <c r="C60" s="21" t="n">
        <f aca="false">calc!$D$60</f>
        <v>28</v>
      </c>
      <c r="D60" s="21" t="n">
        <f aca="false">calc!$E$60</f>
        <v>2</v>
      </c>
      <c r="E60" s="21" t="n">
        <f aca="false">calc!$K$60</f>
        <v>59</v>
      </c>
      <c r="F60" s="84" t="n">
        <f aca="false">calc!$G$60</f>
        <v>-46.6082451757725</v>
      </c>
      <c r="G60" s="85" t="n">
        <f aca="false">calc!$I$60</f>
        <v>71.1755021269346</v>
      </c>
      <c r="H60" s="86" t="n">
        <f aca="false">IF(ABS(G60-G59)&lt;100,G60,"")</f>
        <v>71.1755021269346</v>
      </c>
    </row>
    <row r="61" customFormat="false" ht="17" hidden="false" customHeight="true" outlineLevel="0" collapsed="false">
      <c r="C61" s="21" t="n">
        <f aca="false">calc!$D$61</f>
        <v>1</v>
      </c>
      <c r="D61" s="21" t="n">
        <f aca="false">calc!$E$61</f>
        <v>3</v>
      </c>
      <c r="E61" s="21" t="n">
        <f aca="false">calc!$K$61</f>
        <v>60</v>
      </c>
      <c r="F61" s="84" t="n">
        <f aca="false">calc!$G$61</f>
        <v>-51.543041440329</v>
      </c>
      <c r="G61" s="85" t="n">
        <f aca="false">calc!$I$61</f>
        <v>52.3064640300121</v>
      </c>
      <c r="H61" s="86" t="n">
        <f aca="false">IF(ABS(G61-G60)&lt;100,G61,"")</f>
        <v>52.3064640300121</v>
      </c>
    </row>
    <row r="62" customFormat="false" ht="17" hidden="false" customHeight="true" outlineLevel="0" collapsed="false">
      <c r="C62" s="21" t="n">
        <f aca="false">calc!$D$62</f>
        <v>2</v>
      </c>
      <c r="D62" s="21" t="n">
        <f aca="false">calc!$E$62</f>
        <v>3</v>
      </c>
      <c r="E62" s="21" t="n">
        <f aca="false">calc!$K$62</f>
        <v>61</v>
      </c>
      <c r="F62" s="84" t="n">
        <f aca="false">calc!$G$62</f>
        <v>-52.7839126773479</v>
      </c>
      <c r="G62" s="85" t="n">
        <f aca="false">calc!$I$62</f>
        <v>30.9394230300014</v>
      </c>
      <c r="H62" s="86" t="n">
        <f aca="false">IF(ABS(G62-G61)&lt;100,G62,"")</f>
        <v>30.9394230300014</v>
      </c>
    </row>
    <row r="63" customFormat="false" ht="17" hidden="false" customHeight="true" outlineLevel="0" collapsed="false">
      <c r="C63" s="21" t="n">
        <f aca="false">calc!$D$63</f>
        <v>3</v>
      </c>
      <c r="D63" s="21" t="n">
        <f aca="false">calc!$E$63</f>
        <v>3</v>
      </c>
      <c r="E63" s="21" t="n">
        <f aca="false">calc!$K$63</f>
        <v>62</v>
      </c>
      <c r="F63" s="84" t="n">
        <f aca="false">calc!$G$63</f>
        <v>-50.1595542090295</v>
      </c>
      <c r="G63" s="85" t="n">
        <f aca="false">calc!$I$63</f>
        <v>10.5875063549209</v>
      </c>
      <c r="H63" s="86" t="n">
        <f aca="false">IF(ABS(G63-G62)&lt;100,G63,"")</f>
        <v>10.5875063549209</v>
      </c>
    </row>
    <row r="64" customFormat="false" ht="17" hidden="false" customHeight="true" outlineLevel="0" collapsed="false">
      <c r="C64" s="21" t="n">
        <f aca="false">calc!$D$64</f>
        <v>4</v>
      </c>
      <c r="D64" s="21" t="n">
        <f aca="false">calc!$E$64</f>
        <v>3</v>
      </c>
      <c r="E64" s="21" t="n">
        <f aca="false">calc!$K$64</f>
        <v>63</v>
      </c>
      <c r="F64" s="84" t="n">
        <f aca="false">calc!$G$64</f>
        <v>-44.5670755026927</v>
      </c>
      <c r="G64" s="85" t="n">
        <f aca="false">calc!$I$64</f>
        <v>353.818425477255</v>
      </c>
      <c r="H64" s="86" t="str">
        <f aca="false">IF(ABS(G64-G63)&lt;100,G64,"")</f>
        <v/>
      </c>
    </row>
    <row r="65" customFormat="false" ht="17" hidden="false" customHeight="true" outlineLevel="0" collapsed="false">
      <c r="C65" s="21" t="n">
        <f aca="false">calc!$D$65</f>
        <v>5</v>
      </c>
      <c r="D65" s="21" t="n">
        <f aca="false">calc!$E$65</f>
        <v>3</v>
      </c>
      <c r="E65" s="21" t="n">
        <f aca="false">calc!$K$65</f>
        <v>64</v>
      </c>
      <c r="F65" s="84" t="n">
        <f aca="false">calc!$G$65</f>
        <v>-37.1890575734849</v>
      </c>
      <c r="G65" s="85" t="n">
        <f aca="false">calc!$I$65</f>
        <v>340.752798352581</v>
      </c>
      <c r="H65" s="86" t="n">
        <f aca="false">IF(ABS(G65-G64)&lt;100,G65,"")</f>
        <v>340.752798352581</v>
      </c>
    </row>
    <row r="66" customFormat="false" ht="17" hidden="false" customHeight="true" outlineLevel="0" collapsed="false">
      <c r="C66" s="21" t="n">
        <f aca="false">calc!$D$66</f>
        <v>6</v>
      </c>
      <c r="D66" s="21" t="n">
        <f aca="false">calc!$E$66</f>
        <v>3</v>
      </c>
      <c r="E66" s="21" t="n">
        <f aca="false">calc!$K$66</f>
        <v>65</v>
      </c>
      <c r="F66" s="84" t="n">
        <f aca="false">calc!$G$66</f>
        <v>-28.9037058812213</v>
      </c>
      <c r="G66" s="85" t="n">
        <f aca="false">calc!$I$66</f>
        <v>330.417056849543</v>
      </c>
      <c r="H66" s="86" t="n">
        <f aca="false">IF(ABS(G66-G65)&lt;100,G66,"")</f>
        <v>330.417056849543</v>
      </c>
    </row>
    <row r="67" customFormat="false" ht="17" hidden="false" customHeight="true" outlineLevel="0" collapsed="false">
      <c r="C67" s="21" t="n">
        <f aca="false">calc!$D$67</f>
        <v>7</v>
      </c>
      <c r="D67" s="21" t="n">
        <f aca="false">calc!$E$67</f>
        <v>3</v>
      </c>
      <c r="E67" s="21" t="n">
        <f aca="false">calc!$K$67</f>
        <v>66</v>
      </c>
      <c r="F67" s="84" t="n">
        <f aca="false">calc!$G$67</f>
        <v>-20.2384919892076</v>
      </c>
      <c r="G67" s="85" t="n">
        <f aca="false">calc!$I$67</f>
        <v>321.833822113446</v>
      </c>
      <c r="H67" s="86" t="n">
        <f aca="false">IF(ABS(G67-G66)&lt;100,G67,"")</f>
        <v>321.833822113446</v>
      </c>
    </row>
    <row r="68" customFormat="false" ht="17" hidden="false" customHeight="true" outlineLevel="0" collapsed="false">
      <c r="C68" s="21" t="n">
        <f aca="false">calc!$D$68</f>
        <v>8</v>
      </c>
      <c r="D68" s="21" t="n">
        <f aca="false">calc!$E$68</f>
        <v>3</v>
      </c>
      <c r="E68" s="21" t="n">
        <f aca="false">calc!$K$68</f>
        <v>67</v>
      </c>
      <c r="F68" s="84" t="n">
        <f aca="false">calc!$G$68</f>
        <v>-11.4928556727194</v>
      </c>
      <c r="G68" s="85" t="n">
        <f aca="false">calc!$I$68</f>
        <v>314.270627833226</v>
      </c>
      <c r="H68" s="86" t="n">
        <f aca="false">IF(ABS(G68-G67)&lt;100,G68,"")</f>
        <v>314.270627833226</v>
      </c>
    </row>
    <row r="69" customFormat="false" ht="17" hidden="false" customHeight="true" outlineLevel="0" collapsed="false">
      <c r="C69" s="21" t="n">
        <f aca="false">calc!$D$69</f>
        <v>9</v>
      </c>
      <c r="D69" s="21" t="n">
        <f aca="false">calc!$E$69</f>
        <v>3</v>
      </c>
      <c r="E69" s="21" t="n">
        <f aca="false">calc!$K$69</f>
        <v>68</v>
      </c>
      <c r="F69" s="84" t="n">
        <f aca="false">calc!$G$69</f>
        <v>-2.09608816435054</v>
      </c>
      <c r="G69" s="85" t="n">
        <f aca="false">calc!$I$69</f>
        <v>307.192130159486</v>
      </c>
      <c r="H69" s="86" t="n">
        <f aca="false">IF(ABS(G69-G68)&lt;100,G69,"")</f>
        <v>307.192130159486</v>
      </c>
    </row>
    <row r="70" customFormat="false" ht="17" hidden="false" customHeight="true" outlineLevel="0" collapsed="false">
      <c r="C70" s="21" t="n">
        <f aca="false">calc!$D$70</f>
        <v>10</v>
      </c>
      <c r="D70" s="21" t="n">
        <f aca="false">calc!$E$70</f>
        <v>3</v>
      </c>
      <c r="E70" s="21" t="n">
        <f aca="false">calc!$K$70</f>
        <v>69</v>
      </c>
      <c r="F70" s="84" t="n">
        <f aca="false">calc!$G$70</f>
        <v>5.97471587214062</v>
      </c>
      <c r="G70" s="85" t="n">
        <f aca="false">calc!$I$70</f>
        <v>300.174114073684</v>
      </c>
      <c r="H70" s="86" t="n">
        <f aca="false">IF(ABS(G70-G69)&lt;100,G70,"")</f>
        <v>300.174114073684</v>
      </c>
    </row>
    <row r="71" customFormat="false" ht="17" hidden="false" customHeight="true" outlineLevel="0" collapsed="false">
      <c r="C71" s="21" t="n">
        <f aca="false">calc!$D$71</f>
        <v>11</v>
      </c>
      <c r="D71" s="21" t="n">
        <f aca="false">calc!$E$71</f>
        <v>3</v>
      </c>
      <c r="E71" s="21" t="n">
        <f aca="false">calc!$K$71</f>
        <v>70</v>
      </c>
      <c r="F71" s="84" t="n">
        <f aca="false">calc!$G$71</f>
        <v>14.1906401855087</v>
      </c>
      <c r="G71" s="85" t="n">
        <f aca="false">calc!$I$71</f>
        <v>292.832316106192</v>
      </c>
      <c r="H71" s="86" t="n">
        <f aca="false">IF(ABS(G71-G70)&lt;100,G71,"")</f>
        <v>292.832316106192</v>
      </c>
    </row>
    <row r="72" customFormat="false" ht="17" hidden="false" customHeight="true" outlineLevel="0" collapsed="false">
      <c r="C72" s="21" t="n">
        <f aca="false">calc!$D$72</f>
        <v>12</v>
      </c>
      <c r="D72" s="21" t="n">
        <f aca="false">calc!$E$72</f>
        <v>3</v>
      </c>
      <c r="E72" s="21" t="n">
        <f aca="false">calc!$K$72</f>
        <v>71</v>
      </c>
      <c r="F72" s="84" t="n">
        <f aca="false">calc!$G$72</f>
        <v>22.1058151641278</v>
      </c>
      <c r="G72" s="85" t="n">
        <f aca="false">calc!$I$72</f>
        <v>284.766393333602</v>
      </c>
      <c r="H72" s="86" t="n">
        <f aca="false">IF(ABS(G72-G71)&lt;100,G72,"")</f>
        <v>284.766393333602</v>
      </c>
    </row>
    <row r="73" customFormat="false" ht="17" hidden="false" customHeight="true" outlineLevel="0" collapsed="false">
      <c r="C73" s="21" t="n">
        <f aca="false">calc!$D$73</f>
        <v>13</v>
      </c>
      <c r="D73" s="21" t="n">
        <f aca="false">calc!$E$73</f>
        <v>3</v>
      </c>
      <c r="E73" s="21" t="n">
        <f aca="false">calc!$K$73</f>
        <v>72</v>
      </c>
      <c r="F73" s="84" t="n">
        <f aca="false">calc!$G$73</f>
        <v>29.5095824568694</v>
      </c>
      <c r="G73" s="85" t="n">
        <f aca="false">calc!$I$73</f>
        <v>275.517441749669</v>
      </c>
      <c r="H73" s="86" t="n">
        <f aca="false">IF(ABS(G73-G72)&lt;100,G73,"")</f>
        <v>275.517441749669</v>
      </c>
    </row>
    <row r="74" customFormat="false" ht="17" hidden="false" customHeight="true" outlineLevel="0" collapsed="false">
      <c r="C74" s="21" t="n">
        <f aca="false">calc!$D$74</f>
        <v>14</v>
      </c>
      <c r="D74" s="21" t="n">
        <f aca="false">calc!$E$74</f>
        <v>3</v>
      </c>
      <c r="E74" s="21" t="n">
        <f aca="false">calc!$K$74</f>
        <v>73</v>
      </c>
      <c r="F74" s="84" t="n">
        <f aca="false">calc!$G$74</f>
        <v>36.115415068125</v>
      </c>
      <c r="G74" s="85" t="n">
        <f aca="false">calc!$I$74</f>
        <v>264.557437371699</v>
      </c>
      <c r="H74" s="86" t="n">
        <f aca="false">IF(ABS(G74-G73)&lt;100,G74,"")</f>
        <v>264.557437371699</v>
      </c>
    </row>
    <row r="75" customFormat="false" ht="17" hidden="false" customHeight="true" outlineLevel="0" collapsed="false">
      <c r="C75" s="21" t="n">
        <f aca="false">calc!$D$75</f>
        <v>15</v>
      </c>
      <c r="D75" s="21" t="n">
        <f aca="false">calc!$E$75</f>
        <v>3</v>
      </c>
      <c r="E75" s="21" t="n">
        <f aca="false">calc!$K$75</f>
        <v>74</v>
      </c>
      <c r="F75" s="84" t="n">
        <f aca="false">calc!$G$75</f>
        <v>41.4819745248094</v>
      </c>
      <c r="G75" s="85" t="n">
        <f aca="false">calc!$I$75</f>
        <v>251.376505068311</v>
      </c>
      <c r="H75" s="86" t="n">
        <f aca="false">IF(ABS(G75-G74)&lt;100,G75,"")</f>
        <v>251.376505068311</v>
      </c>
    </row>
    <row r="76" customFormat="false" ht="17" hidden="false" customHeight="true" outlineLevel="0" collapsed="false">
      <c r="C76" s="21" t="n">
        <f aca="false">calc!$D$76</f>
        <v>16</v>
      </c>
      <c r="D76" s="21" t="n">
        <f aca="false">calc!$E$76</f>
        <v>3</v>
      </c>
      <c r="E76" s="21" t="n">
        <f aca="false">calc!$K$76</f>
        <v>75</v>
      </c>
      <c r="F76" s="84" t="n">
        <f aca="false">calc!$G$76</f>
        <v>45.0023584335662</v>
      </c>
      <c r="G76" s="85" t="n">
        <f aca="false">calc!$I$76</f>
        <v>235.786733764449</v>
      </c>
      <c r="H76" s="86" t="n">
        <f aca="false">IF(ABS(G76-G75)&lt;100,G76,"")</f>
        <v>235.786733764449</v>
      </c>
    </row>
    <row r="77" customFormat="false" ht="17" hidden="false" customHeight="true" outlineLevel="0" collapsed="false">
      <c r="C77" s="21" t="n">
        <f aca="false">calc!$D$77</f>
        <v>17</v>
      </c>
      <c r="D77" s="21" t="n">
        <f aca="false">calc!$E$77</f>
        <v>3</v>
      </c>
      <c r="E77" s="21" t="n">
        <f aca="false">calc!$K$77</f>
        <v>76</v>
      </c>
      <c r="F77" s="84" t="n">
        <f aca="false">calc!$G$77</f>
        <v>46.0400052350227</v>
      </c>
      <c r="G77" s="85" t="n">
        <f aca="false">calc!$I$77</f>
        <v>218.419737146625</v>
      </c>
      <c r="H77" s="86" t="n">
        <f aca="false">IF(ABS(G77-G76)&lt;100,G77,"")</f>
        <v>218.419737146625</v>
      </c>
    </row>
    <row r="78" customFormat="false" ht="17" hidden="false" customHeight="true" outlineLevel="0" collapsed="false">
      <c r="C78" s="21" t="n">
        <f aca="false">calc!$D$78</f>
        <v>18</v>
      </c>
      <c r="D78" s="21" t="n">
        <f aca="false">calc!$E$78</f>
        <v>3</v>
      </c>
      <c r="E78" s="21" t="n">
        <f aca="false">calc!$K$78</f>
        <v>77</v>
      </c>
      <c r="F78" s="84" t="n">
        <f aca="false">calc!$G$78</f>
        <v>44.24421235349</v>
      </c>
      <c r="G78" s="85" t="n">
        <f aca="false">calc!$I$78</f>
        <v>200.834136329452</v>
      </c>
      <c r="H78" s="86" t="n">
        <f aca="false">IF(ABS(G78-G77)&lt;100,G78,"")</f>
        <v>200.834136329452</v>
      </c>
    </row>
    <row r="79" customFormat="false" ht="17" hidden="false" customHeight="true" outlineLevel="0" collapsed="false">
      <c r="C79" s="21" t="n">
        <f aca="false">calc!$D$79</f>
        <v>19</v>
      </c>
      <c r="D79" s="21" t="n">
        <f aca="false">calc!$E$79</f>
        <v>3</v>
      </c>
      <c r="E79" s="21" t="n">
        <f aca="false">calc!$K$79</f>
        <v>78</v>
      </c>
      <c r="F79" s="84" t="n">
        <f aca="false">calc!$G$79</f>
        <v>39.7860522678858</v>
      </c>
      <c r="G79" s="85" t="n">
        <f aca="false">calc!$I$79</f>
        <v>184.64942585219</v>
      </c>
      <c r="H79" s="86" t="n">
        <f aca="false">IF(ABS(G79-G78)&lt;100,G79,"")</f>
        <v>184.64942585219</v>
      </c>
    </row>
    <row r="80" customFormat="false" ht="17" hidden="false" customHeight="true" outlineLevel="0" collapsed="false">
      <c r="C80" s="21" t="n">
        <f aca="false">calc!$D$80</f>
        <v>20</v>
      </c>
      <c r="D80" s="21" t="n">
        <f aca="false">calc!$E$80</f>
        <v>3</v>
      </c>
      <c r="E80" s="21" t="n">
        <f aca="false">calc!$K$80</f>
        <v>79</v>
      </c>
      <c r="F80" s="84" t="n">
        <f aca="false">calc!$G$80</f>
        <v>33.2314121667331</v>
      </c>
      <c r="G80" s="85" t="n">
        <f aca="false">calc!$I$80</f>
        <v>170.597073405843</v>
      </c>
      <c r="H80" s="86" t="n">
        <f aca="false">IF(ABS(G80-G79)&lt;100,G80,"")</f>
        <v>170.597073405843</v>
      </c>
    </row>
    <row r="81" customFormat="false" ht="17" hidden="false" customHeight="true" outlineLevel="0" collapsed="false">
      <c r="C81" s="21" t="n">
        <f aca="false">calc!$D$81</f>
        <v>21</v>
      </c>
      <c r="D81" s="21" t="n">
        <f aca="false">calc!$E$81</f>
        <v>3</v>
      </c>
      <c r="E81" s="21" t="n">
        <f aca="false">calc!$K$81</f>
        <v>80</v>
      </c>
      <c r="F81" s="84" t="n">
        <f aca="false">calc!$G$81</f>
        <v>25.2382006804594</v>
      </c>
      <c r="G81" s="85" t="n">
        <f aca="false">calc!$I$81</f>
        <v>158.528591916363</v>
      </c>
      <c r="H81" s="86" t="n">
        <f aca="false">IF(ABS(G81-G80)&lt;100,G81,"")</f>
        <v>158.528591916363</v>
      </c>
    </row>
    <row r="82" customFormat="false" ht="17" hidden="false" customHeight="true" outlineLevel="0" collapsed="false">
      <c r="C82" s="21" t="n">
        <f aca="false">calc!$D$82</f>
        <v>22</v>
      </c>
      <c r="D82" s="21" t="n">
        <f aca="false">calc!$E$82</f>
        <v>3</v>
      </c>
      <c r="E82" s="21" t="n">
        <f aca="false">calc!$K$82</f>
        <v>81</v>
      </c>
      <c r="F82" s="84" t="n">
        <f aca="false">calc!$G$82</f>
        <v>16.3793428967453</v>
      </c>
      <c r="G82" s="85" t="n">
        <f aca="false">calc!$I$82</f>
        <v>147.908508460146</v>
      </c>
      <c r="H82" s="86" t="n">
        <f aca="false">IF(ABS(G82-G81)&lt;100,G82,"")</f>
        <v>147.908508460146</v>
      </c>
    </row>
    <row r="83" customFormat="false" ht="17" hidden="false" customHeight="true" outlineLevel="0" collapsed="false">
      <c r="C83" s="21" t="n">
        <f aca="false">calc!$D$83</f>
        <v>23</v>
      </c>
      <c r="D83" s="21" t="n">
        <f aca="false">calc!$E$83</f>
        <v>3</v>
      </c>
      <c r="E83" s="21" t="n">
        <f aca="false">calc!$K$83</f>
        <v>82</v>
      </c>
      <c r="F83" s="84" t="n">
        <f aca="false">calc!$G$83</f>
        <v>7.1346254670047</v>
      </c>
      <c r="G83" s="85" t="n">
        <f aca="false">calc!$I$83</f>
        <v>138.144834805086</v>
      </c>
      <c r="H83" s="86" t="n">
        <f aca="false">IF(ABS(G83-G82)&lt;100,G83,"")</f>
        <v>138.144834805086</v>
      </c>
    </row>
    <row r="84" customFormat="false" ht="17" hidden="false" customHeight="true" outlineLevel="0" collapsed="false">
      <c r="C84" s="21" t="n">
        <f aca="false">calc!$D$84</f>
        <v>24</v>
      </c>
      <c r="D84" s="21" t="n">
        <f aca="false">calc!$E$84</f>
        <v>3</v>
      </c>
      <c r="E84" s="21" t="n">
        <f aca="false">calc!$K$84</f>
        <v>83</v>
      </c>
      <c r="F84" s="84" t="n">
        <f aca="false">calc!$G$84</f>
        <v>-1.68081320614846</v>
      </c>
      <c r="G84" s="85" t="n">
        <f aca="false">calc!$I$84</f>
        <v>128.690942699739</v>
      </c>
      <c r="H84" s="86" t="n">
        <f aca="false">IF(ABS(G84-G83)&lt;100,G84,"")</f>
        <v>128.690942699739</v>
      </c>
    </row>
    <row r="85" customFormat="false" ht="17" hidden="false" customHeight="true" outlineLevel="0" collapsed="false">
      <c r="C85" s="21" t="n">
        <f aca="false">calc!$D$85</f>
        <v>25</v>
      </c>
      <c r="D85" s="21" t="n">
        <f aca="false">calc!$E$85</f>
        <v>3</v>
      </c>
      <c r="E85" s="21" t="n">
        <f aca="false">calc!$K$85</f>
        <v>84</v>
      </c>
      <c r="F85" s="84" t="n">
        <f aca="false">calc!$G$85</f>
        <v>-11.6210515328128</v>
      </c>
      <c r="G85" s="85" t="n">
        <f aca="false">calc!$I$85</f>
        <v>119.040521984996</v>
      </c>
      <c r="H85" s="86" t="n">
        <f aca="false">IF(ABS(G85-G84)&lt;100,G85,"")</f>
        <v>119.040521984996</v>
      </c>
    </row>
    <row r="86" customFormat="false" ht="17" hidden="false" customHeight="true" outlineLevel="0" collapsed="false">
      <c r="C86" s="21" t="n">
        <f aca="false">calc!$D$86</f>
        <v>26</v>
      </c>
      <c r="D86" s="21" t="n">
        <f aca="false">calc!$E$86</f>
        <v>3</v>
      </c>
      <c r="E86" s="21" t="n">
        <f aca="false">calc!$K$86</f>
        <v>85</v>
      </c>
      <c r="F86" s="84" t="n">
        <f aca="false">calc!$G$86</f>
        <v>-20.2379089834018</v>
      </c>
      <c r="G86" s="85" t="n">
        <f aca="false">calc!$I$86</f>
        <v>108.697311197911</v>
      </c>
      <c r="H86" s="86" t="n">
        <f aca="false">IF(ABS(G86-G85)&lt;100,G86,"")</f>
        <v>108.697311197911</v>
      </c>
    </row>
    <row r="87" customFormat="false" ht="17" hidden="false" customHeight="true" outlineLevel="0" collapsed="false">
      <c r="C87" s="21" t="n">
        <f aca="false">calc!$D$87</f>
        <v>27</v>
      </c>
      <c r="D87" s="21" t="n">
        <f aca="false">calc!$E$87</f>
        <v>3</v>
      </c>
      <c r="E87" s="21" t="n">
        <f aca="false">calc!$K$87</f>
        <v>86</v>
      </c>
      <c r="F87" s="84" t="n">
        <f aca="false">calc!$G$87</f>
        <v>-28.0032552855195</v>
      </c>
      <c r="G87" s="85" t="n">
        <f aca="false">calc!$I$87</f>
        <v>97.1650356022064</v>
      </c>
      <c r="H87" s="86" t="n">
        <f aca="false">IF(ABS(G87-G86)&lt;100,G87,"")</f>
        <v>97.1650356022064</v>
      </c>
    </row>
    <row r="88" customFormat="false" ht="17" hidden="false" customHeight="true" outlineLevel="0" collapsed="false">
      <c r="C88" s="21" t="n">
        <f aca="false">calc!$D$88</f>
        <v>28</v>
      </c>
      <c r="D88" s="21" t="n">
        <f aca="false">calc!$E$88</f>
        <v>3</v>
      </c>
      <c r="E88" s="21" t="n">
        <f aca="false">calc!$K$88</f>
        <v>87</v>
      </c>
      <c r="F88" s="84" t="n">
        <f aca="false">calc!$G$88</f>
        <v>-34.4852849238167</v>
      </c>
      <c r="G88" s="85" t="n">
        <f aca="false">calc!$I$88</f>
        <v>84.0076607495955</v>
      </c>
      <c r="H88" s="86" t="n">
        <f aca="false">IF(ABS(G88-G87)&lt;100,G88,"")</f>
        <v>84.0076607495955</v>
      </c>
    </row>
    <row r="89" customFormat="false" ht="17" hidden="false" customHeight="true" outlineLevel="0" collapsed="false">
      <c r="C89" s="21" t="n">
        <f aca="false">calc!$D$89</f>
        <v>29</v>
      </c>
      <c r="D89" s="21" t="n">
        <f aca="false">calc!$E$89</f>
        <v>3</v>
      </c>
      <c r="E89" s="21" t="n">
        <f aca="false">calc!$K$89</f>
        <v>88</v>
      </c>
      <c r="F89" s="84" t="n">
        <f aca="false">calc!$G$89</f>
        <v>-39.1837557442441</v>
      </c>
      <c r="G89" s="85" t="n">
        <f aca="false">calc!$I$89</f>
        <v>69.0439125467362</v>
      </c>
      <c r="H89" s="86" t="n">
        <f aca="false">IF(ABS(G89-G88)&lt;100,G89,"")</f>
        <v>69.0439125467362</v>
      </c>
    </row>
    <row r="90" customFormat="false" ht="17" hidden="false" customHeight="true" outlineLevel="0" collapsed="false">
      <c r="C90" s="21" t="n">
        <f aca="false">calc!$D$90</f>
        <v>30</v>
      </c>
      <c r="D90" s="21" t="n">
        <f aca="false">calc!$E$90</f>
        <v>3</v>
      </c>
      <c r="E90" s="21" t="n">
        <f aca="false">calc!$K$90</f>
        <v>89</v>
      </c>
      <c r="F90" s="84" t="n">
        <f aca="false">calc!$G$90</f>
        <v>-41.628238184678</v>
      </c>
      <c r="G90" s="85" t="n">
        <f aca="false">calc!$I$90</f>
        <v>52.6540190998024</v>
      </c>
      <c r="H90" s="86" t="n">
        <f aca="false">IF(ABS(G90-G89)&lt;100,G90,"")</f>
        <v>52.6540190998024</v>
      </c>
    </row>
    <row r="91" customFormat="false" ht="17" hidden="false" customHeight="true" outlineLevel="0" collapsed="false">
      <c r="C91" s="21" t="n">
        <f aca="false">calc!$D$91</f>
        <v>31</v>
      </c>
      <c r="D91" s="21" t="n">
        <f aca="false">calc!$E$91</f>
        <v>3</v>
      </c>
      <c r="E91" s="21" t="n">
        <f aca="false">calc!$K$91</f>
        <v>90</v>
      </c>
      <c r="F91" s="84" t="n">
        <f aca="false">calc!$G$91</f>
        <v>-41.5830258541365</v>
      </c>
      <c r="G91" s="85" t="n">
        <f aca="false">calc!$I$91</f>
        <v>35.8906876381782</v>
      </c>
      <c r="H91" s="86" t="n">
        <f aca="false">IF(ABS(G91-G90)&lt;100,G91,"")</f>
        <v>35.8906876381782</v>
      </c>
    </row>
    <row r="92" customFormat="false" ht="17" hidden="false" customHeight="true" outlineLevel="0" collapsed="false">
      <c r="C92" s="21" t="n">
        <f aca="false">calc!$D$92</f>
        <v>1</v>
      </c>
      <c r="D92" s="21" t="n">
        <f aca="false">calc!$E$92</f>
        <v>4</v>
      </c>
      <c r="E92" s="21" t="n">
        <f aca="false">calc!$K$92</f>
        <v>91</v>
      </c>
      <c r="F92" s="84" t="n">
        <f aca="false">calc!$G$92</f>
        <v>-39.2057741752675</v>
      </c>
      <c r="G92" s="85" t="n">
        <f aca="false">calc!$I$92</f>
        <v>20.0228765819615</v>
      </c>
      <c r="H92" s="86" t="n">
        <f aca="false">IF(ABS(G92-G91)&lt;100,G92,"")</f>
        <v>20.0228765819615</v>
      </c>
    </row>
    <row r="93" customFormat="false" ht="17" hidden="false" customHeight="true" outlineLevel="0" collapsed="false">
      <c r="C93" s="21" t="n">
        <f aca="false">calc!$D$93</f>
        <v>2</v>
      </c>
      <c r="D93" s="21" t="n">
        <f aca="false">calc!$E$93</f>
        <v>4</v>
      </c>
      <c r="E93" s="21" t="n">
        <f aca="false">calc!$K$93</f>
        <v>92</v>
      </c>
      <c r="F93" s="84" t="n">
        <f aca="false">calc!$G$93</f>
        <v>-34.9757226447667</v>
      </c>
      <c r="G93" s="85" t="n">
        <f aca="false">calc!$I$93</f>
        <v>5.85182649047619</v>
      </c>
      <c r="H93" s="86" t="n">
        <f aca="false">IF(ABS(G93-G92)&lt;100,G93,"")</f>
        <v>5.85182649047619</v>
      </c>
    </row>
    <row r="94" customFormat="false" ht="17" hidden="false" customHeight="true" outlineLevel="0" collapsed="false">
      <c r="C94" s="21" t="n">
        <f aca="false">calc!$D$94</f>
        <v>3</v>
      </c>
      <c r="D94" s="21" t="n">
        <f aca="false">calc!$E$94</f>
        <v>4</v>
      </c>
      <c r="E94" s="21" t="n">
        <f aca="false">calc!$K$94</f>
        <v>93</v>
      </c>
      <c r="F94" s="84" t="n">
        <f aca="false">calc!$G$94</f>
        <v>-29.4660388984995</v>
      </c>
      <c r="G94" s="85" t="n">
        <f aca="false">calc!$I$94</f>
        <v>353.507287194977</v>
      </c>
      <c r="H94" s="86" t="str">
        <f aca="false">IF(ABS(G94-G93)&lt;100,G94,"")</f>
        <v/>
      </c>
    </row>
    <row r="95" customFormat="false" ht="17" hidden="false" customHeight="true" outlineLevel="0" collapsed="false">
      <c r="C95" s="21" t="n">
        <f aca="false">calc!$D$95</f>
        <v>4</v>
      </c>
      <c r="D95" s="21" t="n">
        <f aca="false">calc!$E$95</f>
        <v>4</v>
      </c>
      <c r="E95" s="21" t="n">
        <f aca="false">calc!$K$95</f>
        <v>94</v>
      </c>
      <c r="F95" s="84" t="n">
        <f aca="false">calc!$G$95</f>
        <v>-23.1716117642352</v>
      </c>
      <c r="G95" s="85" t="n">
        <f aca="false">calc!$I$95</f>
        <v>342.701419809631</v>
      </c>
      <c r="H95" s="86" t="n">
        <f aca="false">IF(ABS(G95-G94)&lt;100,G95,"")</f>
        <v>342.701419809631</v>
      </c>
    </row>
    <row r="96" customFormat="false" ht="17" hidden="false" customHeight="true" outlineLevel="0" collapsed="false">
      <c r="C96" s="21" t="n">
        <f aca="false">calc!$D$96</f>
        <v>5</v>
      </c>
      <c r="D96" s="21" t="n">
        <f aca="false">calc!$E$96</f>
        <v>4</v>
      </c>
      <c r="E96" s="21" t="n">
        <f aca="false">calc!$K$96</f>
        <v>95</v>
      </c>
      <c r="F96" s="84" t="n">
        <f aca="false">calc!$G$96</f>
        <v>-16.458273242369</v>
      </c>
      <c r="G96" s="85" t="n">
        <f aca="false">calc!$I$96</f>
        <v>333.012647537968</v>
      </c>
      <c r="H96" s="86" t="n">
        <f aca="false">IF(ABS(G96-G95)&lt;100,G96,"")</f>
        <v>333.012647537968</v>
      </c>
    </row>
    <row r="97" customFormat="false" ht="17" hidden="false" customHeight="true" outlineLevel="0" collapsed="false">
      <c r="C97" s="21" t="n">
        <f aca="false">calc!$D$97</f>
        <v>6</v>
      </c>
      <c r="D97" s="21" t="n">
        <f aca="false">calc!$E$97</f>
        <v>4</v>
      </c>
      <c r="E97" s="21" t="n">
        <f aca="false">calc!$K$97</f>
        <v>96</v>
      </c>
      <c r="F97" s="84" t="n">
        <f aca="false">calc!$G$97</f>
        <v>-9.57921401965518</v>
      </c>
      <c r="G97" s="85" t="n">
        <f aca="false">calc!$I$97</f>
        <v>324.027884861538</v>
      </c>
      <c r="H97" s="86" t="n">
        <f aca="false">IF(ABS(G97-G96)&lt;100,G97,"")</f>
        <v>324.027884861538</v>
      </c>
    </row>
    <row r="98" customFormat="false" ht="17" hidden="false" customHeight="true" outlineLevel="0" collapsed="false">
      <c r="C98" s="21" t="n">
        <f aca="false">calc!$D$98</f>
        <v>7</v>
      </c>
      <c r="D98" s="21" t="n">
        <f aca="false">calc!$E$98</f>
        <v>4</v>
      </c>
      <c r="E98" s="21" t="n">
        <f aca="false">calc!$K$98</f>
        <v>97</v>
      </c>
      <c r="F98" s="84" t="n">
        <f aca="false">calc!$G$98</f>
        <v>-1.93784202130014</v>
      </c>
      <c r="G98" s="85" t="n">
        <f aca="false">calc!$I$98</f>
        <v>315.38054865218</v>
      </c>
      <c r="H98" s="86" t="n">
        <f aca="false">IF(ABS(G98-G97)&lt;100,G98,"")</f>
        <v>315.38054865218</v>
      </c>
    </row>
    <row r="99" customFormat="false" ht="17" hidden="false" customHeight="true" outlineLevel="0" collapsed="false">
      <c r="C99" s="21" t="n">
        <f aca="false">calc!$D$99</f>
        <v>8</v>
      </c>
      <c r="D99" s="21" t="n">
        <f aca="false">calc!$E$99</f>
        <v>4</v>
      </c>
      <c r="E99" s="21" t="n">
        <f aca="false">calc!$K$99</f>
        <v>98</v>
      </c>
      <c r="F99" s="84" t="n">
        <f aca="false">calc!$G$99</f>
        <v>4.3771768003664</v>
      </c>
      <c r="G99" s="85" t="n">
        <f aca="false">calc!$I$99</f>
        <v>306.744100517481</v>
      </c>
      <c r="H99" s="86" t="n">
        <f aca="false">IF(ABS(G99-G98)&lt;100,G99,"")</f>
        <v>306.744100517481</v>
      </c>
    </row>
    <row r="100" customFormat="false" ht="17" hidden="false" customHeight="true" outlineLevel="0" collapsed="false">
      <c r="C100" s="21" t="n">
        <f aca="false">calc!$D$100</f>
        <v>9</v>
      </c>
      <c r="D100" s="21" t="n">
        <f aca="false">calc!$E$100</f>
        <v>4</v>
      </c>
      <c r="E100" s="21" t="n">
        <f aca="false">calc!$K$100</f>
        <v>99</v>
      </c>
      <c r="F100" s="84" t="n">
        <f aca="false">calc!$G$100</f>
        <v>10.8146689703301</v>
      </c>
      <c r="G100" s="85" t="n">
        <f aca="false">calc!$I$100</f>
        <v>297.813342765754</v>
      </c>
      <c r="H100" s="86" t="n">
        <f aca="false">IF(ABS(G100-G99)&lt;100,G100,"")</f>
        <v>297.813342765754</v>
      </c>
    </row>
    <row r="101" customFormat="false" ht="17" hidden="false" customHeight="true" outlineLevel="0" collapsed="false">
      <c r="C101" s="21" t="n">
        <f aca="false">calc!$D$101</f>
        <v>10</v>
      </c>
      <c r="D101" s="21" t="n">
        <f aca="false">calc!$E$101</f>
        <v>4</v>
      </c>
      <c r="E101" s="21" t="n">
        <f aca="false">calc!$K$101</f>
        <v>100</v>
      </c>
      <c r="F101" s="84" t="n">
        <f aca="false">calc!$G$101</f>
        <v>16.9408165443376</v>
      </c>
      <c r="G101" s="85" t="n">
        <f aca="false">calc!$I$101</f>
        <v>288.287831056647</v>
      </c>
      <c r="H101" s="86" t="n">
        <f aca="false">IF(ABS(G101-G100)&lt;100,G101,"")</f>
        <v>288.287831056647</v>
      </c>
    </row>
    <row r="102" customFormat="false" ht="17" hidden="false" customHeight="true" outlineLevel="0" collapsed="false">
      <c r="C102" s="21" t="n">
        <f aca="false">calc!$D$102</f>
        <v>11</v>
      </c>
      <c r="D102" s="21" t="n">
        <f aca="false">calc!$E$102</f>
        <v>4</v>
      </c>
      <c r="E102" s="21" t="n">
        <f aca="false">calc!$K$102</f>
        <v>101</v>
      </c>
      <c r="F102" s="84" t="n">
        <f aca="false">calc!$G$102</f>
        <v>22.5296763533136</v>
      </c>
      <c r="G102" s="85" t="n">
        <f aca="false">calc!$I$102</f>
        <v>277.867715750745</v>
      </c>
      <c r="H102" s="86" t="n">
        <f aca="false">IF(ABS(G102-G101)&lt;100,G102,"")</f>
        <v>277.867715750745</v>
      </c>
    </row>
    <row r="103" customFormat="false" ht="17" hidden="false" customHeight="true" outlineLevel="0" collapsed="false">
      <c r="C103" s="21" t="n">
        <f aca="false">calc!$D$103</f>
        <v>12</v>
      </c>
      <c r="D103" s="21" t="n">
        <f aca="false">calc!$E$103</f>
        <v>4</v>
      </c>
      <c r="E103" s="21" t="n">
        <f aca="false">calc!$K$103</f>
        <v>102</v>
      </c>
      <c r="F103" s="84" t="n">
        <f aca="false">calc!$G$103</f>
        <v>27.3357999643733</v>
      </c>
      <c r="G103" s="85" t="n">
        <f aca="false">calc!$I$103</f>
        <v>266.27688819504</v>
      </c>
      <c r="H103" s="86" t="n">
        <f aca="false">IF(ABS(G103-G102)&lt;100,G103,"")</f>
        <v>266.27688819504</v>
      </c>
    </row>
    <row r="104" customFormat="false" ht="17" hidden="false" customHeight="true" outlineLevel="0" collapsed="false">
      <c r="C104" s="21" t="n">
        <f aca="false">calc!$D$104</f>
        <v>13</v>
      </c>
      <c r="D104" s="21" t="n">
        <f aca="false">calc!$E$104</f>
        <v>4</v>
      </c>
      <c r="E104" s="21" t="n">
        <f aca="false">calc!$K$104</f>
        <v>103</v>
      </c>
      <c r="F104" s="84" t="n">
        <f aca="false">calc!$G$104</f>
        <v>31.0465540033748</v>
      </c>
      <c r="G104" s="85" t="n">
        <f aca="false">calc!$I$104</f>
        <v>253.333575678502</v>
      </c>
      <c r="H104" s="86" t="n">
        <f aca="false">IF(ABS(G104-G103)&lt;100,G104,"")</f>
        <v>253.333575678502</v>
      </c>
    </row>
    <row r="105" customFormat="false" ht="17" hidden="false" customHeight="true" outlineLevel="0" collapsed="false">
      <c r="C105" s="21" t="n">
        <f aca="false">calc!$D$105</f>
        <v>14</v>
      </c>
      <c r="D105" s="21" t="n">
        <f aca="false">calc!$E$105</f>
        <v>4</v>
      </c>
      <c r="E105" s="21" t="n">
        <f aca="false">calc!$K$105</f>
        <v>104</v>
      </c>
      <c r="F105" s="84" t="n">
        <f aca="false">calc!$G$105</f>
        <v>33.2992655248532</v>
      </c>
      <c r="G105" s="85" t="n">
        <f aca="false">calc!$I$105</f>
        <v>239.073579104178</v>
      </c>
      <c r="H105" s="86" t="n">
        <f aca="false">IF(ABS(G105-G104)&lt;100,G105,"")</f>
        <v>239.073579104178</v>
      </c>
    </row>
    <row r="106" customFormat="false" ht="17" hidden="false" customHeight="true" outlineLevel="0" collapsed="false">
      <c r="C106" s="21" t="n">
        <f aca="false">calc!$D$106</f>
        <v>15</v>
      </c>
      <c r="D106" s="21" t="n">
        <f aca="false">calc!$E$106</f>
        <v>4</v>
      </c>
      <c r="E106" s="21" t="n">
        <f aca="false">calc!$K$106</f>
        <v>105</v>
      </c>
      <c r="F106" s="84" t="n">
        <f aca="false">calc!$G$106</f>
        <v>33.7595953277038</v>
      </c>
      <c r="G106" s="85" t="n">
        <f aca="false">calc!$I$106</f>
        <v>223.865458608271</v>
      </c>
      <c r="H106" s="86" t="n">
        <f aca="false">IF(ABS(G106-G105)&lt;100,G106,"")</f>
        <v>223.865458608271</v>
      </c>
    </row>
    <row r="107" customFormat="false" ht="17" hidden="false" customHeight="true" outlineLevel="0" collapsed="false">
      <c r="C107" s="21" t="n">
        <f aca="false">calc!$D$107</f>
        <v>16</v>
      </c>
      <c r="D107" s="21" t="n">
        <f aca="false">calc!$E$107</f>
        <v>4</v>
      </c>
      <c r="E107" s="21" t="n">
        <f aca="false">calc!$K$107</f>
        <v>106</v>
      </c>
      <c r="F107" s="84" t="n">
        <f aca="false">calc!$G$107</f>
        <v>32.2459503684114</v>
      </c>
      <c r="G107" s="85" t="n">
        <f aca="false">calc!$I$107</f>
        <v>208.375904179048</v>
      </c>
      <c r="H107" s="86" t="n">
        <f aca="false">IF(ABS(G107-G106)&lt;100,G107,"")</f>
        <v>208.375904179048</v>
      </c>
    </row>
    <row r="108" customFormat="false" ht="17" hidden="false" customHeight="true" outlineLevel="0" collapsed="false">
      <c r="C108" s="21" t="n">
        <f aca="false">calc!$D$108</f>
        <v>17</v>
      </c>
      <c r="D108" s="21" t="n">
        <f aca="false">calc!$E$108</f>
        <v>4</v>
      </c>
      <c r="E108" s="21" t="n">
        <f aca="false">calc!$K$108</f>
        <v>107</v>
      </c>
      <c r="F108" s="84" t="n">
        <f aca="false">calc!$G$108</f>
        <v>28.8238217190411</v>
      </c>
      <c r="G108" s="85" t="n">
        <f aca="false">calc!$I$108</f>
        <v>193.316826804506</v>
      </c>
      <c r="H108" s="86" t="n">
        <f aca="false">IF(ABS(G108-G107)&lt;100,G108,"")</f>
        <v>193.316826804506</v>
      </c>
    </row>
    <row r="109" customFormat="false" ht="17" hidden="false" customHeight="true" outlineLevel="0" collapsed="false">
      <c r="C109" s="21" t="n">
        <f aca="false">calc!$D$109</f>
        <v>18</v>
      </c>
      <c r="D109" s="21" t="n">
        <f aca="false">calc!$E$109</f>
        <v>4</v>
      </c>
      <c r="E109" s="21" t="n">
        <f aca="false">calc!$K$109</f>
        <v>108</v>
      </c>
      <c r="F109" s="84" t="n">
        <f aca="false">calc!$G$109</f>
        <v>23.7948363094993</v>
      </c>
      <c r="G109" s="85" t="n">
        <f aca="false">calc!$I$109</f>
        <v>179.151322375782</v>
      </c>
      <c r="H109" s="86" t="n">
        <f aca="false">IF(ABS(G109-G108)&lt;100,G109,"")</f>
        <v>179.151322375782</v>
      </c>
    </row>
    <row r="110" customFormat="false" ht="17" hidden="false" customHeight="true" outlineLevel="0" collapsed="false">
      <c r="C110" s="21" t="n">
        <f aca="false">calc!$D$110</f>
        <v>19</v>
      </c>
      <c r="D110" s="21" t="n">
        <f aca="false">calc!$E$110</f>
        <v>4</v>
      </c>
      <c r="E110" s="21" t="n">
        <f aca="false">calc!$K$110</f>
        <v>109</v>
      </c>
      <c r="F110" s="84" t="n">
        <f aca="false">calc!$G$110</f>
        <v>17.5991977901948</v>
      </c>
      <c r="G110" s="85" t="n">
        <f aca="false">calc!$I$110</f>
        <v>165.990041162385</v>
      </c>
      <c r="H110" s="86" t="n">
        <f aca="false">IF(ABS(G110-G109)&lt;100,G110,"")</f>
        <v>165.990041162385</v>
      </c>
    </row>
    <row r="111" customFormat="false" ht="17" hidden="false" customHeight="true" outlineLevel="0" collapsed="false">
      <c r="C111" s="21" t="n">
        <f aca="false">calc!$D$111</f>
        <v>20</v>
      </c>
      <c r="D111" s="21" t="n">
        <f aca="false">calc!$E$111</f>
        <v>4</v>
      </c>
      <c r="E111" s="21" t="n">
        <f aca="false">calc!$K$111</f>
        <v>110</v>
      </c>
      <c r="F111" s="84" t="n">
        <f aca="false">calc!$G$111</f>
        <v>10.7150276707086</v>
      </c>
      <c r="G111" s="85" t="n">
        <f aca="false">calc!$I$111</f>
        <v>153.678039694969</v>
      </c>
      <c r="H111" s="86" t="n">
        <f aca="false">IF(ABS(G111-G110)&lt;100,G111,"")</f>
        <v>153.678039694969</v>
      </c>
    </row>
    <row r="112" customFormat="false" ht="17" hidden="false" customHeight="true" outlineLevel="0" collapsed="false">
      <c r="C112" s="21" t="n">
        <f aca="false">calc!$D$112</f>
        <v>21</v>
      </c>
      <c r="D112" s="21" t="n">
        <f aca="false">calc!$E$112</f>
        <v>4</v>
      </c>
      <c r="E112" s="21" t="n">
        <f aca="false">calc!$K$112</f>
        <v>111</v>
      </c>
      <c r="F112" s="84" t="n">
        <f aca="false">calc!$G$112</f>
        <v>3.64542947454076</v>
      </c>
      <c r="G112" s="85" t="n">
        <f aca="false">calc!$I$112</f>
        <v>141.929123804925</v>
      </c>
      <c r="H112" s="86" t="n">
        <f aca="false">IF(ABS(G112-G111)&lt;100,G112,"")</f>
        <v>141.929123804925</v>
      </c>
    </row>
    <row r="113" customFormat="false" ht="17" hidden="false" customHeight="true" outlineLevel="0" collapsed="false">
      <c r="C113" s="21" t="n">
        <f aca="false">calc!$D$113</f>
        <v>22</v>
      </c>
      <c r="D113" s="21" t="n">
        <f aca="false">calc!$E$113</f>
        <v>4</v>
      </c>
      <c r="E113" s="21" t="n">
        <f aca="false">calc!$K$113</f>
        <v>112</v>
      </c>
      <c r="F113" s="84" t="n">
        <f aca="false">calc!$G$113</f>
        <v>-3.38252116957327</v>
      </c>
      <c r="G113" s="85" t="n">
        <f aca="false">calc!$I$113</f>
        <v>130.42066752886</v>
      </c>
      <c r="H113" s="86" t="n">
        <f aca="false">IF(ABS(G113-G112)&lt;100,G113,"")</f>
        <v>130.42066752886</v>
      </c>
    </row>
    <row r="114" customFormat="false" ht="17" hidden="false" customHeight="true" outlineLevel="0" collapsed="false">
      <c r="C114" s="21" t="n">
        <f aca="false">calc!$D$114</f>
        <v>23</v>
      </c>
      <c r="D114" s="21" t="n">
        <f aca="false">calc!$E$114</f>
        <v>4</v>
      </c>
      <c r="E114" s="21" t="n">
        <f aca="false">calc!$K$114</f>
        <v>113</v>
      </c>
      <c r="F114" s="84" t="n">
        <f aca="false">calc!$G$114</f>
        <v>-10.4335334224411</v>
      </c>
      <c r="G114" s="85" t="n">
        <f aca="false">calc!$I$114</f>
        <v>118.84393242316</v>
      </c>
      <c r="H114" s="86" t="n">
        <f aca="false">IF(ABS(G114-G113)&lt;100,G114,"")</f>
        <v>118.84393242316</v>
      </c>
    </row>
    <row r="115" customFormat="false" ht="17" hidden="false" customHeight="true" outlineLevel="0" collapsed="false">
      <c r="C115" s="21" t="n">
        <f aca="false">calc!$D$115</f>
        <v>24</v>
      </c>
      <c r="D115" s="21" t="n">
        <f aca="false">calc!$E$115</f>
        <v>4</v>
      </c>
      <c r="E115" s="21" t="n">
        <f aca="false">calc!$K$115</f>
        <v>114</v>
      </c>
      <c r="F115" s="84" t="n">
        <f aca="false">calc!$G$115</f>
        <v>-16.4223545687096</v>
      </c>
      <c r="G115" s="85" t="n">
        <f aca="false">calc!$I$115</f>
        <v>106.93412577109</v>
      </c>
      <c r="H115" s="86" t="n">
        <f aca="false">IF(ABS(G115-G114)&lt;100,G115,"")</f>
        <v>106.93412577109</v>
      </c>
    </row>
    <row r="116" customFormat="false" ht="17" hidden="false" customHeight="true" outlineLevel="0" collapsed="false">
      <c r="C116" s="21" t="n">
        <f aca="false">calc!$D$116</f>
        <v>25</v>
      </c>
      <c r="D116" s="21" t="n">
        <f aca="false">calc!$E$116</f>
        <v>4</v>
      </c>
      <c r="E116" s="21" t="n">
        <f aca="false">calc!$K$116</f>
        <v>115</v>
      </c>
      <c r="F116" s="84" t="n">
        <f aca="false">calc!$G$116</f>
        <v>-21.4981758029422</v>
      </c>
      <c r="G116" s="85" t="n">
        <f aca="false">calc!$I$116</f>
        <v>94.5019656044898</v>
      </c>
      <c r="H116" s="86" t="n">
        <f aca="false">IF(ABS(G116-G115)&lt;100,G116,"")</f>
        <v>94.5019656044898</v>
      </c>
    </row>
    <row r="117" customFormat="false" ht="17" hidden="false" customHeight="true" outlineLevel="0" collapsed="false">
      <c r="C117" s="21" t="n">
        <f aca="false">calc!$D$117</f>
        <v>26</v>
      </c>
      <c r="D117" s="21" t="n">
        <f aca="false">calc!$E$117</f>
        <v>4</v>
      </c>
      <c r="E117" s="21" t="n">
        <f aca="false">calc!$K$117</f>
        <v>116</v>
      </c>
      <c r="F117" s="84" t="n">
        <f aca="false">calc!$G$117</f>
        <v>-25.438788434749</v>
      </c>
      <c r="G117" s="85" t="n">
        <f aca="false">calc!$I$117</f>
        <v>81.4755877757232</v>
      </c>
      <c r="H117" s="86" t="n">
        <f aca="false">IF(ABS(G117-G116)&lt;100,G117,"")</f>
        <v>81.4755877757232</v>
      </c>
    </row>
    <row r="118" customFormat="false" ht="17" hidden="false" customHeight="true" outlineLevel="0" collapsed="false">
      <c r="C118" s="21" t="n">
        <f aca="false">calc!$D$118</f>
        <v>27</v>
      </c>
      <c r="D118" s="21" t="n">
        <f aca="false">calc!$E$118</f>
        <v>4</v>
      </c>
      <c r="E118" s="21" t="n">
        <f aca="false">calc!$K$118</f>
        <v>117</v>
      </c>
      <c r="F118" s="84" t="n">
        <f aca="false">calc!$G$118</f>
        <v>-28.0671003634386</v>
      </c>
      <c r="G118" s="85" t="n">
        <f aca="false">calc!$I$118</f>
        <v>67.9413747728181</v>
      </c>
      <c r="H118" s="86" t="n">
        <f aca="false">IF(ABS(G118-G117)&lt;100,G118,"")</f>
        <v>67.9413747728181</v>
      </c>
    </row>
    <row r="119" customFormat="false" ht="17" hidden="false" customHeight="true" outlineLevel="0" collapsed="false">
      <c r="C119" s="21" t="n">
        <f aca="false">calc!$D$119</f>
        <v>28</v>
      </c>
      <c r="D119" s="21" t="n">
        <f aca="false">calc!$E$119</f>
        <v>4</v>
      </c>
      <c r="E119" s="21" t="n">
        <f aca="false">calc!$K$119</f>
        <v>118</v>
      </c>
      <c r="F119" s="84" t="n">
        <f aca="false">calc!$G$119</f>
        <v>-29.2842215318733</v>
      </c>
      <c r="G119" s="85" t="n">
        <f aca="false">calc!$I$119</f>
        <v>54.1502194737375</v>
      </c>
      <c r="H119" s="86" t="n">
        <f aca="false">IF(ABS(G119-G118)&lt;100,G119,"")</f>
        <v>54.1502194737375</v>
      </c>
    </row>
    <row r="120" customFormat="false" ht="17" hidden="false" customHeight="true" outlineLevel="0" collapsed="false">
      <c r="C120" s="21" t="n">
        <f aca="false">calc!$D$120</f>
        <v>29</v>
      </c>
      <c r="D120" s="21" t="n">
        <f aca="false">calc!$E$120</f>
        <v>4</v>
      </c>
      <c r="E120" s="21" t="n">
        <f aca="false">calc!$K$120</f>
        <v>119</v>
      </c>
      <c r="F120" s="84" t="n">
        <f aca="false">calc!$G$120</f>
        <v>-29.1003320116335</v>
      </c>
      <c r="G120" s="85" t="n">
        <f aca="false">calc!$I$120</f>
        <v>40.4570038443698</v>
      </c>
      <c r="H120" s="86" t="n">
        <f aca="false">IF(ABS(G120-G119)&lt;100,G120,"")</f>
        <v>40.4570038443698</v>
      </c>
    </row>
    <row r="121" customFormat="false" ht="17" hidden="false" customHeight="true" outlineLevel="0" collapsed="false">
      <c r="C121" s="21" t="n">
        <f aca="false">calc!$D$121</f>
        <v>30</v>
      </c>
      <c r="D121" s="21" t="n">
        <f aca="false">calc!$E$121</f>
        <v>4</v>
      </c>
      <c r="E121" s="21" t="n">
        <f aca="false">calc!$K$121</f>
        <v>120</v>
      </c>
      <c r="F121" s="84" t="n">
        <f aca="false">calc!$G$121</f>
        <v>-27.6397516658411</v>
      </c>
      <c r="G121" s="85" t="n">
        <f aca="false">calc!$I$121</f>
        <v>27.206331819382</v>
      </c>
      <c r="H121" s="86" t="n">
        <f aca="false">IF(ABS(G121-G120)&lt;100,G121,"")</f>
        <v>27.206331819382</v>
      </c>
    </row>
    <row r="122" customFormat="false" ht="17" hidden="false" customHeight="true" outlineLevel="0" collapsed="false">
      <c r="C122" s="21" t="n">
        <f aca="false">calc!$D$122</f>
        <v>1</v>
      </c>
      <c r="D122" s="21" t="n">
        <f aca="false">calc!$E$122</f>
        <v>5</v>
      </c>
      <c r="E122" s="21" t="n">
        <f aca="false">calc!$K$122</f>
        <v>121</v>
      </c>
      <c r="F122" s="84" t="n">
        <f aca="false">calc!$G$122</f>
        <v>-25.1112357119815</v>
      </c>
      <c r="G122" s="85" t="n">
        <f aca="false">calc!$I$122</f>
        <v>14.6283858881041</v>
      </c>
      <c r="H122" s="86" t="n">
        <f aca="false">IF(ABS(G122-G121)&lt;100,G122,"")</f>
        <v>14.6283858881041</v>
      </c>
    </row>
    <row r="123" customFormat="false" ht="17" hidden="false" customHeight="true" outlineLevel="0" collapsed="false">
      <c r="C123" s="21" t="n">
        <f aca="false">calc!$D$123</f>
        <v>2</v>
      </c>
      <c r="D123" s="21" t="n">
        <f aca="false">calc!$E$123</f>
        <v>5</v>
      </c>
      <c r="E123" s="21" t="n">
        <f aca="false">calc!$K$123</f>
        <v>122</v>
      </c>
      <c r="F123" s="84" t="n">
        <f aca="false">calc!$G$123</f>
        <v>-21.7597323252917</v>
      </c>
      <c r="G123" s="85" t="n">
        <f aca="false">calc!$I$123</f>
        <v>2.79955378026088</v>
      </c>
      <c r="H123" s="86" t="n">
        <f aca="false">IF(ABS(G123-G122)&lt;100,G123,"")</f>
        <v>2.79955378026088</v>
      </c>
    </row>
    <row r="124" customFormat="false" ht="17" hidden="false" customHeight="true" outlineLevel="0" collapsed="false">
      <c r="C124" s="21" t="n">
        <f aca="false">calc!$D$124</f>
        <v>3</v>
      </c>
      <c r="D124" s="21" t="n">
        <f aca="false">calc!$E$124</f>
        <v>5</v>
      </c>
      <c r="E124" s="21" t="n">
        <f aca="false">calc!$K$124</f>
        <v>123</v>
      </c>
      <c r="F124" s="84" t="n">
        <f aca="false">calc!$G$124</f>
        <v>-17.824083452458</v>
      </c>
      <c r="G124" s="85" t="n">
        <f aca="false">calc!$I$124</f>
        <v>351.665770661582</v>
      </c>
      <c r="H124" s="86" t="str">
        <f aca="false">IF(ABS(G124-G123)&lt;100,G124,"")</f>
        <v/>
      </c>
    </row>
    <row r="125" customFormat="false" ht="17" hidden="false" customHeight="true" outlineLevel="0" collapsed="false">
      <c r="C125" s="21" t="n">
        <f aca="false">calc!$D$125</f>
        <v>4</v>
      </c>
      <c r="D125" s="21" t="n">
        <f aca="false">calc!$E$125</f>
        <v>5</v>
      </c>
      <c r="E125" s="21" t="n">
        <f aca="false">calc!$K$125</f>
        <v>124</v>
      </c>
      <c r="F125" s="84" t="n">
        <f aca="false">calc!$G$125</f>
        <v>-13.5135509973633</v>
      </c>
      <c r="G125" s="85" t="n">
        <f aca="false">calc!$I$125</f>
        <v>341.091174606294</v>
      </c>
      <c r="H125" s="86" t="n">
        <f aca="false">IF(ABS(G125-G124)&lt;100,G125,"")</f>
        <v>341.091174606294</v>
      </c>
    </row>
    <row r="126" customFormat="false" ht="17" hidden="false" customHeight="true" outlineLevel="0" collapsed="false">
      <c r="C126" s="21" t="n">
        <f aca="false">calc!$D$126</f>
        <v>5</v>
      </c>
      <c r="D126" s="21" t="n">
        <f aca="false">calc!$E$126</f>
        <v>5</v>
      </c>
      <c r="E126" s="21" t="n">
        <f aca="false">calc!$K$126</f>
        <v>125</v>
      </c>
      <c r="F126" s="84" t="n">
        <f aca="false">calc!$G$126</f>
        <v>-8.99757566569384</v>
      </c>
      <c r="G126" s="85" t="n">
        <f aca="false">calc!$I$126</f>
        <v>330.901092926093</v>
      </c>
      <c r="H126" s="86" t="n">
        <f aca="false">IF(ABS(G126-G125)&lt;100,G126,"")</f>
        <v>330.901092926093</v>
      </c>
    </row>
    <row r="127" customFormat="false" ht="17" hidden="false" customHeight="true" outlineLevel="0" collapsed="false">
      <c r="C127" s="21" t="n">
        <f aca="false">calc!$D$127</f>
        <v>6</v>
      </c>
      <c r="D127" s="21" t="n">
        <f aca="false">calc!$E$127</f>
        <v>5</v>
      </c>
      <c r="E127" s="21" t="n">
        <f aca="false">calc!$K$127</f>
        <v>126</v>
      </c>
      <c r="F127" s="84" t="n">
        <f aca="false">calc!$G$127</f>
        <v>-4.19946268017085</v>
      </c>
      <c r="G127" s="85" t="n">
        <f aca="false">calc!$I$127</f>
        <v>320.908539612831</v>
      </c>
      <c r="H127" s="86" t="n">
        <f aca="false">IF(ABS(G127-G126)&lt;100,G127,"")</f>
        <v>320.908539612831</v>
      </c>
    </row>
    <row r="128" customFormat="false" ht="17" hidden="false" customHeight="true" outlineLevel="0" collapsed="false">
      <c r="C128" s="21" t="n">
        <f aca="false">calc!$D$128</f>
        <v>7</v>
      </c>
      <c r="D128" s="21" t="n">
        <f aca="false">calc!$E$128</f>
        <v>5</v>
      </c>
      <c r="E128" s="21" t="n">
        <f aca="false">calc!$K$128</f>
        <v>127</v>
      </c>
      <c r="F128" s="84" t="n">
        <f aca="false">calc!$G$128</f>
        <v>0.691861445646308</v>
      </c>
      <c r="G128" s="85" t="n">
        <f aca="false">calc!$I$128</f>
        <v>310.926173023598</v>
      </c>
      <c r="H128" s="86" t="n">
        <f aca="false">IF(ABS(G128-G127)&lt;100,G128,"")</f>
        <v>310.926173023598</v>
      </c>
    </row>
    <row r="129" customFormat="false" ht="17" hidden="false" customHeight="true" outlineLevel="0" collapsed="false">
      <c r="C129" s="21" t="n">
        <f aca="false">calc!$D$129</f>
        <v>8</v>
      </c>
      <c r="D129" s="21" t="n">
        <f aca="false">calc!$E$129</f>
        <v>5</v>
      </c>
      <c r="E129" s="21" t="n">
        <f aca="false">calc!$K$129</f>
        <v>128</v>
      </c>
      <c r="F129" s="84" t="n">
        <f aca="false">calc!$G$129</f>
        <v>4.81266277339195</v>
      </c>
      <c r="G129" s="85" t="n">
        <f aca="false">calc!$I$129</f>
        <v>300.7696553147</v>
      </c>
      <c r="H129" s="86" t="n">
        <f aca="false">IF(ABS(G129-G128)&lt;100,G129,"")</f>
        <v>300.7696553147</v>
      </c>
    </row>
    <row r="130" customFormat="false" ht="17" hidden="false" customHeight="true" outlineLevel="0" collapsed="false">
      <c r="C130" s="21" t="n">
        <f aca="false">calc!$D$130</f>
        <v>9</v>
      </c>
      <c r="D130" s="21" t="n">
        <f aca="false">calc!$E$130</f>
        <v>5</v>
      </c>
      <c r="E130" s="21" t="n">
        <f aca="false">calc!$K$130</f>
        <v>129</v>
      </c>
      <c r="F130" s="84" t="n">
        <f aca="false">calc!$G$130</f>
        <v>8.88270460143537</v>
      </c>
      <c r="G130" s="85" t="n">
        <f aca="false">calc!$I$130</f>
        <v>290.258549642834</v>
      </c>
      <c r="H130" s="86" t="n">
        <f aca="false">IF(ABS(G130-G129)&lt;100,G130,"")</f>
        <v>290.258549642834</v>
      </c>
    </row>
    <row r="131" customFormat="false" ht="17" hidden="false" customHeight="true" outlineLevel="0" collapsed="false">
      <c r="C131" s="21" t="n">
        <f aca="false">calc!$D$131</f>
        <v>10</v>
      </c>
      <c r="D131" s="21" t="n">
        <f aca="false">calc!$E$131</f>
        <v>5</v>
      </c>
      <c r="E131" s="21" t="n">
        <f aca="false">calc!$K$131</f>
        <v>130</v>
      </c>
      <c r="F131" s="84" t="n">
        <f aca="false">calc!$G$131</f>
        <v>12.6161658739493</v>
      </c>
      <c r="G131" s="85" t="n">
        <f aca="false">calc!$I$131</f>
        <v>279.220539757673</v>
      </c>
      <c r="H131" s="86" t="n">
        <f aca="false">IF(ABS(G131-G130)&lt;100,G131,"")</f>
        <v>279.220539757673</v>
      </c>
    </row>
    <row r="132" customFormat="false" ht="17" hidden="false" customHeight="true" outlineLevel="0" collapsed="false">
      <c r="C132" s="21" t="n">
        <f aca="false">calc!$D$132</f>
        <v>11</v>
      </c>
      <c r="D132" s="21" t="n">
        <f aca="false">calc!$E$132</f>
        <v>5</v>
      </c>
      <c r="E132" s="21" t="n">
        <f aca="false">calc!$K$132</f>
        <v>131</v>
      </c>
      <c r="F132" s="84" t="n">
        <f aca="false">calc!$G$132</f>
        <v>15.849154142344</v>
      </c>
      <c r="G132" s="85" t="n">
        <f aca="false">calc!$I$132</f>
        <v>267.504491845857</v>
      </c>
      <c r="H132" s="86" t="n">
        <f aca="false">IF(ABS(G132-G131)&lt;100,G132,"")</f>
        <v>267.504491845857</v>
      </c>
    </row>
    <row r="133" customFormat="false" ht="17" hidden="false" customHeight="true" outlineLevel="0" collapsed="false">
      <c r="C133" s="21" t="n">
        <f aca="false">calc!$D$133</f>
        <v>12</v>
      </c>
      <c r="D133" s="21" t="n">
        <f aca="false">calc!$E$133</f>
        <v>5</v>
      </c>
      <c r="E133" s="21" t="n">
        <f aca="false">calc!$K$133</f>
        <v>132</v>
      </c>
      <c r="F133" s="84" t="n">
        <f aca="false">calc!$G$133</f>
        <v>18.4120143596158</v>
      </c>
      <c r="G133" s="85" t="n">
        <f aca="false">calc!$I$133</f>
        <v>255.006340652319</v>
      </c>
      <c r="H133" s="86" t="n">
        <f aca="false">IF(ABS(G133-G132)&lt;100,G133,"")</f>
        <v>255.006340652319</v>
      </c>
    </row>
    <row r="134" customFormat="false" ht="17" hidden="false" customHeight="true" outlineLevel="0" collapsed="false">
      <c r="C134" s="21" t="n">
        <f aca="false">calc!$D$134</f>
        <v>13</v>
      </c>
      <c r="D134" s="21" t="n">
        <f aca="false">calc!$E$134</f>
        <v>5</v>
      </c>
      <c r="E134" s="21" t="n">
        <f aca="false">calc!$K$134</f>
        <v>133</v>
      </c>
      <c r="F134" s="84" t="n">
        <f aca="false">calc!$G$134</f>
        <v>20.1219610480781</v>
      </c>
      <c r="G134" s="85" t="n">
        <f aca="false">calc!$I$134</f>
        <v>241.706086780761</v>
      </c>
      <c r="H134" s="86" t="n">
        <f aca="false">IF(ABS(G134-G133)&lt;100,G134,"")</f>
        <v>241.706086780761</v>
      </c>
    </row>
    <row r="135" customFormat="false" ht="17" hidden="false" customHeight="true" outlineLevel="0" collapsed="false">
      <c r="C135" s="21" t="n">
        <f aca="false">calc!$D$135</f>
        <v>14</v>
      </c>
      <c r="D135" s="21" t="n">
        <f aca="false">calc!$E$135</f>
        <v>5</v>
      </c>
      <c r="E135" s="21" t="n">
        <f aca="false">calc!$K$135</f>
        <v>134</v>
      </c>
      <c r="F135" s="84" t="n">
        <f aca="false">calc!$G$135</f>
        <v>20.8067241056305</v>
      </c>
      <c r="G135" s="85" t="n">
        <f aca="false">calc!$I$135</f>
        <v>227.702312235762</v>
      </c>
      <c r="H135" s="86" t="n">
        <f aca="false">IF(ABS(G135-G134)&lt;100,G135,"")</f>
        <v>227.702312235762</v>
      </c>
    </row>
    <row r="136" customFormat="false" ht="17" hidden="false" customHeight="true" outlineLevel="0" collapsed="false">
      <c r="C136" s="21" t="n">
        <f aca="false">calc!$D$136</f>
        <v>15</v>
      </c>
      <c r="D136" s="21" t="n">
        <f aca="false">calc!$E$136</f>
        <v>5</v>
      </c>
      <c r="E136" s="21" t="n">
        <f aca="false">calc!$K$136</f>
        <v>135</v>
      </c>
      <c r="F136" s="84" t="n">
        <f aca="false">calc!$G$136</f>
        <v>20.3488482619337</v>
      </c>
      <c r="G136" s="85" t="n">
        <f aca="false">calc!$I$136</f>
        <v>213.218212923862</v>
      </c>
      <c r="H136" s="86" t="n">
        <f aca="false">IF(ABS(G136-G135)&lt;100,G136,"")</f>
        <v>213.218212923862</v>
      </c>
    </row>
    <row r="137" customFormat="false" ht="17" hidden="false" customHeight="true" outlineLevel="0" collapsed="false">
      <c r="C137" s="21" t="n">
        <f aca="false">calc!$D$137</f>
        <v>16</v>
      </c>
      <c r="D137" s="21" t="n">
        <f aca="false">calc!$E$137</f>
        <v>5</v>
      </c>
      <c r="E137" s="21" t="n">
        <f aca="false">calc!$K$137</f>
        <v>136</v>
      </c>
      <c r="F137" s="84" t="n">
        <f aca="false">calc!$G$137</f>
        <v>18.7333647693987</v>
      </c>
      <c r="G137" s="85" t="n">
        <f aca="false">calc!$I$137</f>
        <v>198.557622488204</v>
      </c>
      <c r="H137" s="86" t="n">
        <f aca="false">IF(ABS(G137-G136)&lt;100,G137,"")</f>
        <v>198.557622488204</v>
      </c>
    </row>
    <row r="138" customFormat="false" ht="17" hidden="false" customHeight="true" outlineLevel="0" collapsed="false">
      <c r="C138" s="21" t="n">
        <f aca="false">calc!$D$138</f>
        <v>17</v>
      </c>
      <c r="D138" s="21" t="n">
        <f aca="false">calc!$E$138</f>
        <v>5</v>
      </c>
      <c r="E138" s="21" t="n">
        <f aca="false">calc!$K$138</f>
        <v>137</v>
      </c>
      <c r="F138" s="84" t="n">
        <f aca="false">calc!$G$138</f>
        <v>16.0728110773115</v>
      </c>
      <c r="G138" s="85" t="n">
        <f aca="false">calc!$I$138</f>
        <v>184.021517793711</v>
      </c>
      <c r="H138" s="86" t="n">
        <f aca="false">IF(ABS(G138-G137)&lt;100,G138,"")</f>
        <v>184.021517793711</v>
      </c>
    </row>
    <row r="139" customFormat="false" ht="17" hidden="false" customHeight="true" outlineLevel="0" collapsed="false">
      <c r="C139" s="21" t="n">
        <f aca="false">calc!$D$139</f>
        <v>18</v>
      </c>
      <c r="D139" s="21" t="n">
        <f aca="false">calc!$E$139</f>
        <v>5</v>
      </c>
      <c r="E139" s="21" t="n">
        <f aca="false">calc!$K$139</f>
        <v>138</v>
      </c>
      <c r="F139" s="84" t="n">
        <f aca="false">calc!$G$139</f>
        <v>12.5935159657006</v>
      </c>
      <c r="G139" s="85" t="n">
        <f aca="false">calc!$I$139</f>
        <v>169.829271234821</v>
      </c>
      <c r="H139" s="86" t="n">
        <f aca="false">IF(ABS(G139-G138)&lt;100,G139,"")</f>
        <v>169.829271234821</v>
      </c>
    </row>
    <row r="140" customFormat="false" ht="17" hidden="false" customHeight="true" outlineLevel="0" collapsed="false">
      <c r="C140" s="21" t="n">
        <f aca="false">calc!$D$140</f>
        <v>19</v>
      </c>
      <c r="D140" s="21" t="n">
        <f aca="false">calc!$E$140</f>
        <v>5</v>
      </c>
      <c r="E140" s="21" t="n">
        <f aca="false">calc!$K$140</f>
        <v>139</v>
      </c>
      <c r="F140" s="84" t="n">
        <f aca="false">calc!$G$140</f>
        <v>8.59254209208207</v>
      </c>
      <c r="G140" s="85" t="n">
        <f aca="false">calc!$I$140</f>
        <v>156.084414202493</v>
      </c>
      <c r="H140" s="86" t="n">
        <f aca="false">IF(ABS(G140-G139)&lt;100,G140,"")</f>
        <v>156.084414202493</v>
      </c>
    </row>
    <row r="141" customFormat="false" ht="17" hidden="false" customHeight="true" outlineLevel="0" collapsed="false">
      <c r="C141" s="21" t="n">
        <f aca="false">calc!$D$141</f>
        <v>20</v>
      </c>
      <c r="D141" s="21" t="n">
        <f aca="false">calc!$E$141</f>
        <v>5</v>
      </c>
      <c r="E141" s="21" t="n">
        <f aca="false">calc!$K$141</f>
        <v>140</v>
      </c>
      <c r="F141" s="84" t="n">
        <f aca="false">calc!$G$141</f>
        <v>4.399997485786</v>
      </c>
      <c r="G141" s="85" t="n">
        <f aca="false">calc!$I$141</f>
        <v>142.787963099657</v>
      </c>
      <c r="H141" s="86" t="n">
        <f aca="false">IF(ABS(G141-G140)&lt;100,G141,"")</f>
        <v>142.787963099657</v>
      </c>
    </row>
    <row r="142" customFormat="false" ht="17" hidden="false" customHeight="true" outlineLevel="0" collapsed="false">
      <c r="C142" s="21" t="n">
        <f aca="false">calc!$D$142</f>
        <v>21</v>
      </c>
      <c r="D142" s="21" t="n">
        <f aca="false">calc!$E$142</f>
        <v>5</v>
      </c>
      <c r="E142" s="21" t="n">
        <f aca="false">calc!$K$142</f>
        <v>141</v>
      </c>
      <c r="F142" s="84" t="n">
        <f aca="false">calc!$G$142</f>
        <v>0.463003018343463</v>
      </c>
      <c r="G142" s="85" t="n">
        <f aca="false">calc!$I$142</f>
        <v>129.875584279913</v>
      </c>
      <c r="H142" s="86" t="n">
        <f aca="false">IF(ABS(G142-G141)&lt;100,G142,"")</f>
        <v>129.875584279913</v>
      </c>
    </row>
    <row r="143" customFormat="false" ht="17" hidden="false" customHeight="true" outlineLevel="0" collapsed="false">
      <c r="C143" s="21" t="n">
        <f aca="false">calc!$D$143</f>
        <v>22</v>
      </c>
      <c r="D143" s="21" t="n">
        <f aca="false">calc!$E$143</f>
        <v>5</v>
      </c>
      <c r="E143" s="21" t="n">
        <f aca="false">calc!$K$143</f>
        <v>142</v>
      </c>
      <c r="F143" s="84" t="n">
        <f aca="false">calc!$G$143</f>
        <v>-3.84045021345218</v>
      </c>
      <c r="G143" s="85" t="n">
        <f aca="false">calc!$I$143</f>
        <v>117.255344682647</v>
      </c>
      <c r="H143" s="86" t="n">
        <f aca="false">IF(ABS(G143-G142)&lt;100,G143,"")</f>
        <v>117.255344682647</v>
      </c>
    </row>
    <row r="144" customFormat="false" ht="17" hidden="false" customHeight="true" outlineLevel="0" collapsed="false">
      <c r="C144" s="21" t="n">
        <f aca="false">calc!$D$144</f>
        <v>23</v>
      </c>
      <c r="D144" s="21" t="n">
        <f aca="false">calc!$E$144</f>
        <v>5</v>
      </c>
      <c r="E144" s="21" t="n">
        <f aca="false">calc!$K$144</f>
        <v>143</v>
      </c>
      <c r="F144" s="84" t="n">
        <f aca="false">calc!$G$144</f>
        <v>-7.69345593165889</v>
      </c>
      <c r="G144" s="85" t="n">
        <f aca="false">calc!$I$144</f>
        <v>104.835637886556</v>
      </c>
      <c r="H144" s="86" t="n">
        <f aca="false">IF(ABS(G144-G143)&lt;100,G144,"")</f>
        <v>104.835637886556</v>
      </c>
    </row>
    <row r="145" customFormat="false" ht="17" hidden="false" customHeight="true" outlineLevel="0" collapsed="false">
      <c r="C145" s="21" t="n">
        <f aca="false">calc!$D$145</f>
        <v>24</v>
      </c>
      <c r="D145" s="21" t="n">
        <f aca="false">calc!$E$145</f>
        <v>5</v>
      </c>
      <c r="E145" s="21" t="n">
        <f aca="false">calc!$K$145</f>
        <v>144</v>
      </c>
      <c r="F145" s="84" t="n">
        <f aca="false">calc!$G$145</f>
        <v>-10.7673822989405</v>
      </c>
      <c r="G145" s="85" t="n">
        <f aca="false">calc!$I$145</f>
        <v>92.5425976747102</v>
      </c>
      <c r="H145" s="86" t="n">
        <f aca="false">IF(ABS(G145-G144)&lt;100,G145,"")</f>
        <v>92.5425976747102</v>
      </c>
    </row>
    <row r="146" customFormat="false" ht="17" hidden="false" customHeight="true" outlineLevel="0" collapsed="false">
      <c r="C146" s="21" t="n">
        <f aca="false">calc!$D$146</f>
        <v>25</v>
      </c>
      <c r="D146" s="21" t="n">
        <f aca="false">calc!$E$146</f>
        <v>5</v>
      </c>
      <c r="E146" s="21" t="n">
        <f aca="false">calc!$K$146</f>
        <v>145</v>
      </c>
      <c r="F146" s="84" t="n">
        <f aca="false">calc!$G$146</f>
        <v>-13.2551947538395</v>
      </c>
      <c r="G146" s="85" t="n">
        <f aca="false">calc!$I$146</f>
        <v>80.3294451752251</v>
      </c>
      <c r="H146" s="86" t="n">
        <f aca="false">IF(ABS(G146-G145)&lt;100,G146,"")</f>
        <v>80.3294451752251</v>
      </c>
    </row>
    <row r="147" customFormat="false" ht="17" hidden="false" customHeight="true" outlineLevel="0" collapsed="false">
      <c r="C147" s="21" t="n">
        <f aca="false">calc!$D$147</f>
        <v>26</v>
      </c>
      <c r="D147" s="21" t="n">
        <f aca="false">calc!$E$147</f>
        <v>5</v>
      </c>
      <c r="E147" s="21" t="n">
        <f aca="false">calc!$K$147</f>
        <v>146</v>
      </c>
      <c r="F147" s="84" t="n">
        <f aca="false">calc!$G$147</f>
        <v>-15.1300097735232</v>
      </c>
      <c r="G147" s="85" t="n">
        <f aca="false">calc!$I$147</f>
        <v>68.1795233832014</v>
      </c>
      <c r="H147" s="86" t="n">
        <f aca="false">IF(ABS(G147-G146)&lt;100,G147,"")</f>
        <v>68.1795233832014</v>
      </c>
    </row>
    <row r="148" customFormat="false" ht="17" hidden="false" customHeight="true" outlineLevel="0" collapsed="false">
      <c r="C148" s="21" t="n">
        <f aca="false">calc!$D$148</f>
        <v>27</v>
      </c>
      <c r="D148" s="21" t="n">
        <f aca="false">calc!$E$148</f>
        <v>5</v>
      </c>
      <c r="E148" s="21" t="n">
        <f aca="false">calc!$K$148</f>
        <v>147</v>
      </c>
      <c r="F148" s="84" t="n">
        <f aca="false">calc!$G$148</f>
        <v>-16.3832242177362</v>
      </c>
      <c r="G148" s="85" t="n">
        <f aca="false">calc!$I$148</f>
        <v>56.1034774232952</v>
      </c>
      <c r="H148" s="86" t="n">
        <f aca="false">IF(ABS(G148-G147)&lt;100,G148,"")</f>
        <v>56.1034774232952</v>
      </c>
    </row>
    <row r="149" customFormat="false" ht="17" hidden="false" customHeight="true" outlineLevel="0" collapsed="false">
      <c r="C149" s="21" t="n">
        <f aca="false">calc!$D$149</f>
        <v>28</v>
      </c>
      <c r="D149" s="21" t="n">
        <f aca="false">calc!$E$149</f>
        <v>5</v>
      </c>
      <c r="E149" s="21" t="n">
        <f aca="false">calc!$K$149</f>
        <v>148</v>
      </c>
      <c r="F149" s="84" t="n">
        <f aca="false">calc!$G$149</f>
        <v>-17.030370030097</v>
      </c>
      <c r="G149" s="85" t="n">
        <f aca="false">calc!$I$149</f>
        <v>44.1309903902966</v>
      </c>
      <c r="H149" s="86" t="n">
        <f aca="false">IF(ABS(G149-G148)&lt;100,G149,"")</f>
        <v>44.1309903902966</v>
      </c>
    </row>
    <row r="150" customFormat="false" ht="17" hidden="false" customHeight="true" outlineLevel="0" collapsed="false">
      <c r="C150" s="21" t="n">
        <f aca="false">calc!$D$150</f>
        <v>29</v>
      </c>
      <c r="D150" s="21" t="n">
        <f aca="false">calc!$E$150</f>
        <v>5</v>
      </c>
      <c r="E150" s="21" t="n">
        <f aca="false">calc!$K$150</f>
        <v>149</v>
      </c>
      <c r="F150" s="84" t="n">
        <f aca="false">calc!$G$150</f>
        <v>-17.1083497413735</v>
      </c>
      <c r="G150" s="85" t="n">
        <f aca="false">calc!$I$150</f>
        <v>32.2988396481537</v>
      </c>
      <c r="H150" s="86" t="n">
        <f aca="false">IF(ABS(G150-G149)&lt;100,G150,"")</f>
        <v>32.2988396481537</v>
      </c>
    </row>
    <row r="151" customFormat="false" ht="17" hidden="false" customHeight="true" outlineLevel="0" collapsed="false">
      <c r="C151" s="21" t="n">
        <f aca="false">calc!$D$151</f>
        <v>30</v>
      </c>
      <c r="D151" s="21" t="n">
        <f aca="false">calc!$E$151</f>
        <v>5</v>
      </c>
      <c r="E151" s="21" t="n">
        <f aca="false">calc!$K$151</f>
        <v>150</v>
      </c>
      <c r="F151" s="84" t="n">
        <f aca="false">calc!$G$151</f>
        <v>-16.6708263207749</v>
      </c>
      <c r="G151" s="85" t="n">
        <f aca="false">calc!$I$151</f>
        <v>20.6385462916393</v>
      </c>
      <c r="H151" s="86" t="n">
        <f aca="false">IF(ABS(G151-G150)&lt;100,G151,"")</f>
        <v>20.6385462916393</v>
      </c>
    </row>
    <row r="152" customFormat="false" ht="17" hidden="false" customHeight="true" outlineLevel="0" collapsed="false">
      <c r="C152" s="21" t="n">
        <f aca="false">calc!$D$152</f>
        <v>31</v>
      </c>
      <c r="D152" s="21" t="n">
        <f aca="false">calc!$E$152</f>
        <v>5</v>
      </c>
      <c r="E152" s="21" t="n">
        <f aca="false">calc!$K$152</f>
        <v>151</v>
      </c>
      <c r="F152" s="84" t="n">
        <f aca="false">calc!$G$152</f>
        <v>-15.7822383990275</v>
      </c>
      <c r="G152" s="85" t="n">
        <f aca="false">calc!$I$152</f>
        <v>9.16703028318722</v>
      </c>
      <c r="H152" s="86" t="n">
        <f aca="false">IF(ABS(G152-G151)&lt;100,G152,"")</f>
        <v>9.16703028318722</v>
      </c>
    </row>
    <row r="153" customFormat="false" ht="17" hidden="false" customHeight="true" outlineLevel="0" collapsed="false">
      <c r="C153" s="21" t="n">
        <f aca="false">calc!$D$153</f>
        <v>1</v>
      </c>
      <c r="D153" s="21" t="n">
        <f aca="false">calc!$E$153</f>
        <v>6</v>
      </c>
      <c r="E153" s="21" t="n">
        <f aca="false">calc!$K$153</f>
        <v>152</v>
      </c>
      <c r="F153" s="84" t="n">
        <f aca="false">calc!$G$153</f>
        <v>-14.5115148023555</v>
      </c>
      <c r="G153" s="85" t="n">
        <f aca="false">calc!$I$153</f>
        <v>357.882065105344</v>
      </c>
      <c r="H153" s="86" t="str">
        <f aca="false">IF(ABS(G153-G152)&lt;100,G153,"")</f>
        <v/>
      </c>
    </row>
    <row r="154" customFormat="false" ht="17" hidden="false" customHeight="true" outlineLevel="0" collapsed="false">
      <c r="C154" s="21" t="n">
        <f aca="false">calc!$D$154</f>
        <v>2</v>
      </c>
      <c r="D154" s="21" t="n">
        <f aca="false">calc!$E$154</f>
        <v>6</v>
      </c>
      <c r="E154" s="21" t="n">
        <f aca="false">calc!$K$154</f>
        <v>153</v>
      </c>
      <c r="F154" s="84" t="n">
        <f aca="false">calc!$G$154</f>
        <v>-12.926717915405</v>
      </c>
      <c r="G154" s="85" t="n">
        <f aca="false">calc!$I$154</f>
        <v>346.76200904403</v>
      </c>
      <c r="H154" s="86" t="n">
        <f aca="false">IF(ABS(G154-G153)&lt;100,G154,"")</f>
        <v>346.76200904403</v>
      </c>
    </row>
    <row r="155" customFormat="false" ht="17" hidden="false" customHeight="true" outlineLevel="0" collapsed="false">
      <c r="C155" s="21" t="n">
        <f aca="false">calc!$D$155</f>
        <v>3</v>
      </c>
      <c r="D155" s="21" t="n">
        <f aca="false">calc!$E$155</f>
        <v>6</v>
      </c>
      <c r="E155" s="21" t="n">
        <f aca="false">calc!$K$155</f>
        <v>154</v>
      </c>
      <c r="F155" s="84" t="n">
        <f aca="false">calc!$G$155</f>
        <v>-11.091116774195</v>
      </c>
      <c r="G155" s="85" t="n">
        <f aca="false">calc!$I$155</f>
        <v>335.767739081429</v>
      </c>
      <c r="H155" s="86" t="n">
        <f aca="false">IF(ABS(G155-G154)&lt;100,G155,"")</f>
        <v>335.767739081429</v>
      </c>
    </row>
    <row r="156" customFormat="false" ht="17" hidden="false" customHeight="true" outlineLevel="0" collapsed="false">
      <c r="C156" s="21" t="n">
        <f aca="false">calc!$D$156</f>
        <v>4</v>
      </c>
      <c r="D156" s="21" t="n">
        <f aca="false">calc!$E$156</f>
        <v>6</v>
      </c>
      <c r="E156" s="21" t="n">
        <f aca="false">calc!$K$156</f>
        <v>155</v>
      </c>
      <c r="F156" s="84" t="n">
        <f aca="false">calc!$G$156</f>
        <v>-9.05951566734549</v>
      </c>
      <c r="G156" s="85" t="n">
        <f aca="false">calc!$I$156</f>
        <v>324.844618554899</v>
      </c>
      <c r="H156" s="86" t="n">
        <f aca="false">IF(ABS(G156-G155)&lt;100,G156,"")</f>
        <v>324.844618554899</v>
      </c>
    </row>
    <row r="157" customFormat="false" ht="17" hidden="false" customHeight="true" outlineLevel="0" collapsed="false">
      <c r="C157" s="21" t="n">
        <f aca="false">calc!$D$157</f>
        <v>5</v>
      </c>
      <c r="D157" s="21" t="n">
        <f aca="false">calc!$E$157</f>
        <v>6</v>
      </c>
      <c r="E157" s="21" t="n">
        <f aca="false">calc!$K$157</f>
        <v>156</v>
      </c>
      <c r="F157" s="84" t="n">
        <f aca="false">calc!$G$157</f>
        <v>-6.8661255810494</v>
      </c>
      <c r="G157" s="85" t="n">
        <f aca="false">calc!$I$157</f>
        <v>313.923384337982</v>
      </c>
      <c r="H157" s="86" t="n">
        <f aca="false">IF(ABS(G157-G156)&lt;100,G157,"")</f>
        <v>313.923384337982</v>
      </c>
    </row>
    <row r="158" customFormat="false" ht="17" hidden="false" customHeight="true" outlineLevel="0" collapsed="false">
      <c r="C158" s="21" t="n">
        <f aca="false">calc!$D$158</f>
        <v>6</v>
      </c>
      <c r="D158" s="21" t="n">
        <f aca="false">calc!$E$158</f>
        <v>6</v>
      </c>
      <c r="E158" s="21" t="n">
        <f aca="false">calc!$K$158</f>
        <v>157</v>
      </c>
      <c r="F158" s="84" t="n">
        <f aca="false">calc!$G$158</f>
        <v>-4.42731512427713</v>
      </c>
      <c r="G158" s="85" t="n">
        <f aca="false">calc!$I$158</f>
        <v>302.920276527593</v>
      </c>
      <c r="H158" s="86" t="n">
        <f aca="false">IF(ABS(G158-G157)&lt;100,G158,"")</f>
        <v>302.920276527593</v>
      </c>
    </row>
    <row r="159" customFormat="false" ht="17" hidden="false" customHeight="true" outlineLevel="0" collapsed="false">
      <c r="C159" s="21" t="n">
        <f aca="false">calc!$D$159</f>
        <v>7</v>
      </c>
      <c r="D159" s="21" t="n">
        <f aca="false">calc!$E$159</f>
        <v>6</v>
      </c>
      <c r="E159" s="21" t="n">
        <f aca="false">calc!$K$159</f>
        <v>158</v>
      </c>
      <c r="F159" s="84" t="n">
        <f aca="false">calc!$G$159</f>
        <v>-1.41914689605455</v>
      </c>
      <c r="G159" s="85" t="n">
        <f aca="false">calc!$I$159</f>
        <v>291.737883666053</v>
      </c>
      <c r="H159" s="86" t="n">
        <f aca="false">IF(ABS(G159-G158)&lt;100,G159,"")</f>
        <v>291.737883666053</v>
      </c>
    </row>
    <row r="160" customFormat="false" ht="17" hidden="false" customHeight="true" outlineLevel="0" collapsed="false">
      <c r="C160" s="21" t="n">
        <f aca="false">calc!$D$160</f>
        <v>8</v>
      </c>
      <c r="D160" s="21" t="n">
        <f aca="false">calc!$E$160</f>
        <v>6</v>
      </c>
      <c r="E160" s="21" t="n">
        <f aca="false">calc!$K$160</f>
        <v>159</v>
      </c>
      <c r="F160" s="84" t="n">
        <f aca="false">calc!$G$160</f>
        <v>0.679672914387987</v>
      </c>
      <c r="G160" s="85" t="n">
        <f aca="false">calc!$I$160</f>
        <v>280.268681594407</v>
      </c>
      <c r="H160" s="86" t="n">
        <f aca="false">IF(ABS(G160-G159)&lt;100,G160,"")</f>
        <v>280.268681594407</v>
      </c>
    </row>
    <row r="161" customFormat="false" ht="17" hidden="false" customHeight="true" outlineLevel="0" collapsed="false">
      <c r="C161" s="21" t="n">
        <f aca="false">calc!$D$161</f>
        <v>9</v>
      </c>
      <c r="D161" s="21" t="n">
        <f aca="false">calc!$E$161</f>
        <v>6</v>
      </c>
      <c r="E161" s="21" t="n">
        <f aca="false">calc!$K$161</f>
        <v>160</v>
      </c>
      <c r="F161" s="84" t="n">
        <f aca="false">calc!$G$161</f>
        <v>2.84019142090275</v>
      </c>
      <c r="G161" s="85" t="n">
        <f aca="false">calc!$I$161</f>
        <v>268.403021248281</v>
      </c>
      <c r="H161" s="86" t="n">
        <f aca="false">IF(ABS(G161-G160)&lt;100,G161,"")</f>
        <v>268.403021248281</v>
      </c>
    </row>
    <row r="162" customFormat="false" ht="17" hidden="false" customHeight="true" outlineLevel="0" collapsed="false">
      <c r="C162" s="21" t="n">
        <f aca="false">calc!$D$162</f>
        <v>10</v>
      </c>
      <c r="D162" s="21" t="n">
        <f aca="false">calc!$E$162</f>
        <v>6</v>
      </c>
      <c r="E162" s="21" t="n">
        <f aca="false">calc!$K$162</f>
        <v>161</v>
      </c>
      <c r="F162" s="84" t="n">
        <f aca="false">calc!$G$162</f>
        <v>5.04930523954749</v>
      </c>
      <c r="G162" s="85" t="n">
        <f aca="false">calc!$I$162</f>
        <v>256.042446049503</v>
      </c>
      <c r="H162" s="86" t="n">
        <f aca="false">IF(ABS(G162-G161)&lt;100,G162,"")</f>
        <v>256.042446049503</v>
      </c>
    </row>
    <row r="163" customFormat="false" ht="17" hidden="false" customHeight="true" outlineLevel="0" collapsed="false">
      <c r="C163" s="21" t="n">
        <f aca="false">calc!$D$163</f>
        <v>11</v>
      </c>
      <c r="D163" s="21" t="n">
        <f aca="false">calc!$E$163</f>
        <v>6</v>
      </c>
      <c r="E163" s="21" t="n">
        <f aca="false">calc!$K$163</f>
        <v>162</v>
      </c>
      <c r="F163" s="84" t="n">
        <f aca="false">calc!$G$163</f>
        <v>7.1527697980619</v>
      </c>
      <c r="G163" s="85" t="n">
        <f aca="false">calc!$I$163</f>
        <v>243.117792587447</v>
      </c>
      <c r="H163" s="86" t="n">
        <f aca="false">IF(ABS(G163-G162)&lt;100,G163,"")</f>
        <v>243.117792587447</v>
      </c>
    </row>
    <row r="164" customFormat="false" ht="17" hidden="false" customHeight="true" outlineLevel="0" collapsed="false">
      <c r="C164" s="21" t="n">
        <f aca="false">calc!$D$164</f>
        <v>12</v>
      </c>
      <c r="D164" s="21" t="n">
        <f aca="false">calc!$E$164</f>
        <v>6</v>
      </c>
      <c r="E164" s="21" t="n">
        <f aca="false">calc!$K$164</f>
        <v>163</v>
      </c>
      <c r="F164" s="84" t="n">
        <f aca="false">calc!$G$164</f>
        <v>9.02829288446465</v>
      </c>
      <c r="G164" s="85" t="n">
        <f aca="false">calc!$I$164</f>
        <v>229.609547389091</v>
      </c>
      <c r="H164" s="86" t="n">
        <f aca="false">IF(ABS(G164-G163)&lt;100,G164,"")</f>
        <v>229.609547389091</v>
      </c>
    </row>
    <row r="165" customFormat="false" ht="17" hidden="false" customHeight="true" outlineLevel="0" collapsed="false">
      <c r="C165" s="21" t="n">
        <f aca="false">calc!$D$165</f>
        <v>13</v>
      </c>
      <c r="D165" s="21" t="n">
        <f aca="false">calc!$E$165</f>
        <v>6</v>
      </c>
      <c r="E165" s="21" t="n">
        <f aca="false">calc!$K$165</f>
        <v>164</v>
      </c>
      <c r="F165" s="84" t="n">
        <f aca="false">calc!$G$165</f>
        <v>10.5535910928247</v>
      </c>
      <c r="G165" s="85" t="n">
        <f aca="false">calc!$I$165</f>
        <v>215.565410983171</v>
      </c>
      <c r="H165" s="86" t="n">
        <f aca="false">IF(ABS(G165-G164)&lt;100,G165,"")</f>
        <v>215.565410983171</v>
      </c>
    </row>
    <row r="166" customFormat="false" ht="17" hidden="false" customHeight="true" outlineLevel="0" collapsed="false">
      <c r="C166" s="21" t="n">
        <f aca="false">calc!$D$166</f>
        <v>14</v>
      </c>
      <c r="D166" s="21" t="n">
        <f aca="false">calc!$E$166</f>
        <v>6</v>
      </c>
      <c r="E166" s="21" t="n">
        <f aca="false">calc!$K$166</f>
        <v>165</v>
      </c>
      <c r="F166" s="84" t="n">
        <f aca="false">calc!$G$166</f>
        <v>11.6136292327609</v>
      </c>
      <c r="G166" s="85" t="n">
        <f aca="false">calc!$I$166</f>
        <v>201.107693876613</v>
      </c>
      <c r="H166" s="86" t="n">
        <f aca="false">IF(ABS(G166-G165)&lt;100,G166,"")</f>
        <v>201.107693876613</v>
      </c>
    </row>
    <row r="167" customFormat="false" ht="17" hidden="false" customHeight="true" outlineLevel="0" collapsed="false">
      <c r="C167" s="21" t="n">
        <f aca="false">calc!$D$167</f>
        <v>15</v>
      </c>
      <c r="D167" s="21" t="n">
        <f aca="false">calc!$E$167</f>
        <v>6</v>
      </c>
      <c r="E167" s="21" t="n">
        <f aca="false">calc!$K$167</f>
        <v>166</v>
      </c>
      <c r="F167" s="84" t="n">
        <f aca="false">calc!$G$167</f>
        <v>12.1218950502935</v>
      </c>
      <c r="G167" s="85" t="n">
        <f aca="false">calc!$I$167</f>
        <v>186.423347951766</v>
      </c>
      <c r="H167" s="86" t="n">
        <f aca="false">IF(ABS(G167-G166)&lt;100,G167,"")</f>
        <v>186.423347951766</v>
      </c>
    </row>
    <row r="168" customFormat="false" ht="17" hidden="false" customHeight="true" outlineLevel="0" collapsed="false">
      <c r="C168" s="21" t="n">
        <f aca="false">calc!$D$168</f>
        <v>16</v>
      </c>
      <c r="D168" s="21" t="n">
        <f aca="false">calc!$E$168</f>
        <v>6</v>
      </c>
      <c r="E168" s="21" t="n">
        <f aca="false">calc!$K$168</f>
        <v>167</v>
      </c>
      <c r="F168" s="84" t="n">
        <f aca="false">calc!$G$168</f>
        <v>12.0407105806824</v>
      </c>
      <c r="G168" s="85" t="n">
        <f aca="false">calc!$I$168</f>
        <v>171.734860084179</v>
      </c>
      <c r="H168" s="86" t="n">
        <f aca="false">IF(ABS(G168-G167)&lt;100,G168,"")</f>
        <v>171.734860084179</v>
      </c>
    </row>
    <row r="169" customFormat="false" ht="17" hidden="false" customHeight="true" outlineLevel="0" collapsed="false">
      <c r="C169" s="21" t="n">
        <f aca="false">calc!$D$169</f>
        <v>17</v>
      </c>
      <c r="D169" s="21" t="n">
        <f aca="false">calc!$E$169</f>
        <v>6</v>
      </c>
      <c r="E169" s="21" t="n">
        <f aca="false">calc!$K$169</f>
        <v>168</v>
      </c>
      <c r="F169" s="84" t="n">
        <f aca="false">calc!$G$169</f>
        <v>11.3891804572132</v>
      </c>
      <c r="G169" s="85" t="n">
        <f aca="false">calc!$I$169</f>
        <v>157.259809848435</v>
      </c>
      <c r="H169" s="86" t="n">
        <f aca="false">IF(ABS(G169-G168)&lt;100,G169,"")</f>
        <v>157.259809848435</v>
      </c>
    </row>
    <row r="170" customFormat="false" ht="17" hidden="false" customHeight="true" outlineLevel="0" collapsed="false">
      <c r="C170" s="21" t="n">
        <f aca="false">calc!$D$170</f>
        <v>18</v>
      </c>
      <c r="D170" s="21" t="n">
        <f aca="false">calc!$E$170</f>
        <v>6</v>
      </c>
      <c r="E170" s="21" t="n">
        <f aca="false">calc!$K$170</f>
        <v>169</v>
      </c>
      <c r="F170" s="84" t="n">
        <f aca="false">calc!$G$170</f>
        <v>10.235017939892</v>
      </c>
      <c r="G170" s="85" t="n">
        <f aca="false">calc!$I$170</f>
        <v>143.173629034893</v>
      </c>
      <c r="H170" s="86" t="n">
        <f aca="false">IF(ABS(G170-G169)&lt;100,G170,"")</f>
        <v>143.173629034893</v>
      </c>
    </row>
    <row r="171" customFormat="false" ht="17" hidden="false" customHeight="true" outlineLevel="0" collapsed="false">
      <c r="C171" s="21" t="n">
        <f aca="false">calc!$D$171</f>
        <v>19</v>
      </c>
      <c r="D171" s="21" t="n">
        <f aca="false">calc!$E$171</f>
        <v>6</v>
      </c>
      <c r="E171" s="21" t="n">
        <f aca="false">calc!$K$171</f>
        <v>170</v>
      </c>
      <c r="F171" s="84" t="n">
        <f aca="false">calc!$G$171</f>
        <v>8.67558130117276</v>
      </c>
      <c r="G171" s="85" t="n">
        <f aca="false">calc!$I$171</f>
        <v>129.58768937904</v>
      </c>
      <c r="H171" s="86" t="n">
        <f aca="false">IF(ABS(G171-G170)&lt;100,G171,"")</f>
        <v>129.58768937904</v>
      </c>
    </row>
    <row r="172" customFormat="false" ht="17" hidden="false" customHeight="true" outlineLevel="0" collapsed="false">
      <c r="C172" s="21" t="n">
        <f aca="false">calc!$D$172</f>
        <v>20</v>
      </c>
      <c r="D172" s="21" t="n">
        <f aca="false">calc!$E$172</f>
        <v>6</v>
      </c>
      <c r="E172" s="21" t="n">
        <f aca="false">calc!$K$172</f>
        <v>171</v>
      </c>
      <c r="F172" s="84" t="n">
        <f aca="false">calc!$G$172</f>
        <v>6.81783424677366</v>
      </c>
      <c r="G172" s="85" t="n">
        <f aca="false">calc!$I$172</f>
        <v>116.545726444621</v>
      </c>
      <c r="H172" s="86" t="n">
        <f aca="false">IF(ABS(G172-G171)&lt;100,G172,"")</f>
        <v>116.545726444621</v>
      </c>
    </row>
    <row r="173" customFormat="false" ht="17" hidden="false" customHeight="true" outlineLevel="0" collapsed="false">
      <c r="C173" s="21" t="n">
        <f aca="false">calc!$D$173</f>
        <v>21</v>
      </c>
      <c r="D173" s="21" t="n">
        <f aca="false">calc!$E$173</f>
        <v>6</v>
      </c>
      <c r="E173" s="21" t="n">
        <f aca="false">calc!$K$173</f>
        <v>172</v>
      </c>
      <c r="F173" s="84" t="n">
        <f aca="false">calc!$G$173</f>
        <v>4.76585182499221</v>
      </c>
      <c r="G173" s="85" t="n">
        <f aca="false">calc!$I$173</f>
        <v>104.033778942726</v>
      </c>
      <c r="H173" s="86" t="n">
        <f aca="false">IF(ABS(G173-G172)&lt;100,G173,"")</f>
        <v>104.033778942726</v>
      </c>
    </row>
    <row r="174" customFormat="false" ht="17" hidden="false" customHeight="true" outlineLevel="0" collapsed="false">
      <c r="C174" s="21" t="n">
        <f aca="false">calc!$D$174</f>
        <v>22</v>
      </c>
      <c r="D174" s="21" t="n">
        <f aca="false">calc!$E$174</f>
        <v>6</v>
      </c>
      <c r="E174" s="21" t="n">
        <f aca="false">calc!$K$174</f>
        <v>173</v>
      </c>
      <c r="F174" s="84" t="n">
        <f aca="false">calc!$G$174</f>
        <v>2.62411009599234</v>
      </c>
      <c r="G174" s="85" t="n">
        <f aca="false">calc!$I$174</f>
        <v>91.996482615997</v>
      </c>
      <c r="H174" s="86" t="n">
        <f aca="false">IF(ABS(G174-G173)&lt;100,G174,"")</f>
        <v>91.996482615997</v>
      </c>
    </row>
    <row r="175" customFormat="false" ht="17" hidden="false" customHeight="true" outlineLevel="0" collapsed="false">
      <c r="C175" s="21" t="n">
        <f aca="false">calc!$D$175</f>
        <v>23</v>
      </c>
      <c r="D175" s="21" t="n">
        <f aca="false">calc!$E$175</f>
        <v>6</v>
      </c>
      <c r="E175" s="21" t="n">
        <f aca="false">calc!$K$175</f>
        <v>174</v>
      </c>
      <c r="F175" s="84" t="n">
        <f aca="false">calc!$G$175</f>
        <v>0.536230131671534</v>
      </c>
      <c r="G175" s="85" t="n">
        <f aca="false">calc!$I$175</f>
        <v>80.3540478863672</v>
      </c>
      <c r="H175" s="86" t="n">
        <f aca="false">IF(ABS(G175-G174)&lt;100,G175,"")</f>
        <v>80.3540478863672</v>
      </c>
    </row>
    <row r="176" customFormat="false" ht="17" hidden="false" customHeight="true" outlineLevel="0" collapsed="false">
      <c r="C176" s="21" t="n">
        <f aca="false">calc!$D$176</f>
        <v>24</v>
      </c>
      <c r="D176" s="21" t="n">
        <f aca="false">calc!$E$176</f>
        <v>6</v>
      </c>
      <c r="E176" s="21" t="n">
        <f aca="false">calc!$K$176</f>
        <v>175</v>
      </c>
      <c r="F176" s="84" t="n">
        <f aca="false">calc!$G$176</f>
        <v>-1.54399381682938</v>
      </c>
      <c r="G176" s="85" t="n">
        <f aca="false">calc!$I$176</f>
        <v>69.0165922505368</v>
      </c>
      <c r="H176" s="86" t="n">
        <f aca="false">IF(ABS(G176-G175)&lt;100,G176,"")</f>
        <v>69.0165922505368</v>
      </c>
    </row>
    <row r="177" customFormat="false" ht="17" hidden="false" customHeight="true" outlineLevel="0" collapsed="false">
      <c r="C177" s="21" t="n">
        <f aca="false">calc!$D$177</f>
        <v>25</v>
      </c>
      <c r="D177" s="21" t="n">
        <f aca="false">calc!$E$177</f>
        <v>6</v>
      </c>
      <c r="E177" s="21" t="n">
        <f aca="false">calc!$K$177</f>
        <v>176</v>
      </c>
      <c r="F177" s="84" t="n">
        <f aca="false">calc!$G$177</f>
        <v>-4.50315395738687</v>
      </c>
      <c r="G177" s="85" t="n">
        <f aca="false">calc!$I$177</f>
        <v>57.8943725171579</v>
      </c>
      <c r="H177" s="86" t="n">
        <f aca="false">IF(ABS(G177-G176)&lt;100,G177,"")</f>
        <v>57.8943725171579</v>
      </c>
    </row>
    <row r="178" customFormat="false" ht="17" hidden="false" customHeight="true" outlineLevel="0" collapsed="false">
      <c r="C178" s="21" t="n">
        <f aca="false">calc!$D$178</f>
        <v>26</v>
      </c>
      <c r="D178" s="21" t="n">
        <f aca="false">calc!$E$178</f>
        <v>6</v>
      </c>
      <c r="E178" s="21" t="n">
        <f aca="false">calc!$K$178</f>
        <v>177</v>
      </c>
      <c r="F178" s="84" t="n">
        <f aca="false">calc!$G$178</f>
        <v>-6.89193843481782</v>
      </c>
      <c r="G178" s="85" t="n">
        <f aca="false">calc!$I$178</f>
        <v>46.9038303573232</v>
      </c>
      <c r="H178" s="86" t="n">
        <f aca="false">IF(ABS(G178-G177)&lt;100,G178,"")</f>
        <v>46.9038303573232</v>
      </c>
    </row>
    <row r="179" customFormat="false" ht="17" hidden="false" customHeight="true" outlineLevel="0" collapsed="false">
      <c r="C179" s="21" t="n">
        <f aca="false">calc!$D$179</f>
        <v>27</v>
      </c>
      <c r="D179" s="21" t="n">
        <f aca="false">calc!$E$179</f>
        <v>6</v>
      </c>
      <c r="E179" s="21" t="n">
        <f aca="false">calc!$K$179</f>
        <v>178</v>
      </c>
      <c r="F179" s="84" t="n">
        <f aca="false">calc!$G$179</f>
        <v>-9.0497664084173</v>
      </c>
      <c r="G179" s="85" t="n">
        <f aca="false">calc!$I$179</f>
        <v>35.9703586101449</v>
      </c>
      <c r="H179" s="86" t="n">
        <f aca="false">IF(ABS(G179-G178)&lt;100,G179,"")</f>
        <v>35.9703586101449</v>
      </c>
    </row>
    <row r="180" customFormat="false" ht="17" hidden="false" customHeight="true" outlineLevel="0" collapsed="false">
      <c r="C180" s="21" t="n">
        <f aca="false">calc!$D$180</f>
        <v>28</v>
      </c>
      <c r="D180" s="21" t="n">
        <f aca="false">calc!$E$180</f>
        <v>6</v>
      </c>
      <c r="E180" s="21" t="n">
        <f aca="false">calc!$K$180</f>
        <v>179</v>
      </c>
      <c r="F180" s="84" t="n">
        <f aca="false">calc!$G$180</f>
        <v>-11.0486381315251</v>
      </c>
      <c r="G180" s="85" t="n">
        <f aca="false">calc!$I$180</f>
        <v>25.029233184272</v>
      </c>
      <c r="H180" s="86" t="n">
        <f aca="false">IF(ABS(G180-G179)&lt;100,G180,"")</f>
        <v>25.029233184272</v>
      </c>
    </row>
    <row r="181" customFormat="false" ht="17" hidden="false" customHeight="true" outlineLevel="0" collapsed="false">
      <c r="C181" s="21" t="n">
        <f aca="false">calc!$D$181</f>
        <v>29</v>
      </c>
      <c r="D181" s="21" t="n">
        <f aca="false">calc!$E$181</f>
        <v>6</v>
      </c>
      <c r="E181" s="21" t="n">
        <f aca="false">calc!$K$181</f>
        <v>180</v>
      </c>
      <c r="F181" s="84" t="n">
        <f aca="false">calc!$G$181</f>
        <v>-12.8527107689323</v>
      </c>
      <c r="G181" s="85" t="n">
        <f aca="false">calc!$I$181</f>
        <v>14.0260984553742</v>
      </c>
      <c r="H181" s="86" t="n">
        <f aca="false">IF(ABS(G181-G180)&lt;100,G181,"")</f>
        <v>14.0260984553742</v>
      </c>
    </row>
    <row r="182" customFormat="false" ht="17" hidden="false" customHeight="true" outlineLevel="0" collapsed="false">
      <c r="C182" s="21" t="n">
        <f aca="false">calc!$D$182</f>
        <v>30</v>
      </c>
      <c r="D182" s="21" t="n">
        <f aca="false">calc!$E$182</f>
        <v>6</v>
      </c>
      <c r="E182" s="21" t="n">
        <f aca="false">calc!$K$182</f>
        <v>181</v>
      </c>
      <c r="F182" s="84" t="n">
        <f aca="false">calc!$G$182</f>
        <v>-14.4075501800017</v>
      </c>
      <c r="G182" s="85" t="n">
        <f aca="false">calc!$I$182</f>
        <v>2.91777145449282</v>
      </c>
      <c r="H182" s="86" t="n">
        <f aca="false">IF(ABS(G182-G181)&lt;100,G182,"")</f>
        <v>2.91777145449282</v>
      </c>
    </row>
    <row r="183" customFormat="false" ht="17" hidden="false" customHeight="true" outlineLevel="0" collapsed="false">
      <c r="C183" s="21" t="n">
        <f aca="false">calc!$D$183</f>
        <v>1</v>
      </c>
      <c r="D183" s="21" t="n">
        <f aca="false">calc!$E$183</f>
        <v>7</v>
      </c>
      <c r="E183" s="21" t="n">
        <f aca="false">calc!$K$183</f>
        <v>182</v>
      </c>
      <c r="F183" s="84" t="n">
        <f aca="false">calc!$G$183</f>
        <v>-15.6522396922352</v>
      </c>
      <c r="G183" s="85" t="n">
        <f aca="false">calc!$I$183</f>
        <v>351.673214061994</v>
      </c>
      <c r="H183" s="86" t="str">
        <f aca="false">IF(ABS(G183-G182)&lt;100,G183,"")</f>
        <v/>
      </c>
    </row>
    <row r="184" customFormat="false" ht="17" hidden="false" customHeight="true" outlineLevel="0" collapsed="false">
      <c r="C184" s="21" t="n">
        <f aca="false">calc!$D$184</f>
        <v>2</v>
      </c>
      <c r="D184" s="21" t="n">
        <f aca="false">calc!$E$184</f>
        <v>7</v>
      </c>
      <c r="E184" s="21" t="n">
        <f aca="false">calc!$K$184</f>
        <v>183</v>
      </c>
      <c r="F184" s="84" t="n">
        <f aca="false">calc!$G$184</f>
        <v>-16.5233220707801</v>
      </c>
      <c r="G184" s="85" t="n">
        <f aca="false">calc!$I$184</f>
        <v>340.27376024789</v>
      </c>
      <c r="H184" s="86" t="n">
        <f aca="false">IF(ABS(G184-G183)&lt;100,G184,"")</f>
        <v>340.27376024789</v>
      </c>
    </row>
    <row r="185" customFormat="false" ht="17" hidden="false" customHeight="true" outlineLevel="0" collapsed="false">
      <c r="C185" s="21" t="n">
        <f aca="false">calc!$D$185</f>
        <v>3</v>
      </c>
      <c r="D185" s="21" t="n">
        <f aca="false">calc!$E$185</f>
        <v>7</v>
      </c>
      <c r="E185" s="21" t="n">
        <f aca="false">calc!$K$185</f>
        <v>184</v>
      </c>
      <c r="F185" s="84" t="n">
        <f aca="false">calc!$G$185</f>
        <v>-16.9579860434981</v>
      </c>
      <c r="G185" s="85" t="n">
        <f aca="false">calc!$I$185</f>
        <v>328.711530202711</v>
      </c>
      <c r="H185" s="86" t="n">
        <f aca="false">IF(ABS(G185-G184)&lt;100,G185,"")</f>
        <v>328.711530202711</v>
      </c>
    </row>
    <row r="186" customFormat="false" ht="17" hidden="false" customHeight="true" outlineLevel="0" collapsed="false">
      <c r="C186" s="21" t="n">
        <f aca="false">calc!$D$186</f>
        <v>4</v>
      </c>
      <c r="D186" s="21" t="n">
        <f aca="false">calc!$E$186</f>
        <v>7</v>
      </c>
      <c r="E186" s="21" t="n">
        <f aca="false">calc!$K$186</f>
        <v>185</v>
      </c>
      <c r="F186" s="84" t="n">
        <f aca="false">calc!$G$186</f>
        <v>-16.8969153803735</v>
      </c>
      <c r="G186" s="85" t="n">
        <f aca="false">calc!$I$186</f>
        <v>316.985629471659</v>
      </c>
      <c r="H186" s="86" t="n">
        <f aca="false">IF(ABS(G186-G185)&lt;100,G186,"")</f>
        <v>316.985629471659</v>
      </c>
    </row>
    <row r="187" customFormat="false" ht="17" hidden="false" customHeight="true" outlineLevel="0" collapsed="false">
      <c r="C187" s="21" t="n">
        <f aca="false">calc!$D$187</f>
        <v>5</v>
      </c>
      <c r="D187" s="21" t="n">
        <f aca="false">calc!$E$187</f>
        <v>7</v>
      </c>
      <c r="E187" s="21" t="n">
        <f aca="false">calc!$K$187</f>
        <v>186</v>
      </c>
      <c r="F187" s="84" t="n">
        <f aca="false">calc!$G$187</f>
        <v>-16.2865784556762</v>
      </c>
      <c r="G187" s="85" t="n">
        <f aca="false">calc!$I$187</f>
        <v>305.096947414019</v>
      </c>
      <c r="H187" s="86" t="n">
        <f aca="false">IF(ABS(G187-G186)&lt;100,G187,"")</f>
        <v>305.096947414019</v>
      </c>
    </row>
    <row r="188" customFormat="false" ht="17" hidden="false" customHeight="true" outlineLevel="0" collapsed="false">
      <c r="C188" s="21" t="n">
        <f aca="false">calc!$D$188</f>
        <v>6</v>
      </c>
      <c r="D188" s="21" t="n">
        <f aca="false">calc!$E$188</f>
        <v>7</v>
      </c>
      <c r="E188" s="21" t="n">
        <f aca="false">calc!$K$188</f>
        <v>187</v>
      </c>
      <c r="F188" s="84" t="n">
        <f aca="false">calc!$G$188</f>
        <v>-15.0814999158601</v>
      </c>
      <c r="G188" s="85" t="n">
        <f aca="false">calc!$I$188</f>
        <v>293.043347974951</v>
      </c>
      <c r="H188" s="86" t="n">
        <f aca="false">IF(ABS(G188-G187)&lt;100,G188,"")</f>
        <v>293.043347974951</v>
      </c>
    </row>
    <row r="189" customFormat="false" ht="17" hidden="false" customHeight="true" outlineLevel="0" collapsed="false">
      <c r="C189" s="21" t="n">
        <f aca="false">calc!$D$189</f>
        <v>7</v>
      </c>
      <c r="D189" s="21" t="n">
        <f aca="false">calc!$E$189</f>
        <v>7</v>
      </c>
      <c r="E189" s="21" t="n">
        <f aca="false">calc!$K$189</f>
        <v>188</v>
      </c>
      <c r="F189" s="84" t="n">
        <f aca="false">calc!$G$189</f>
        <v>-13.2481693558909</v>
      </c>
      <c r="G189" s="85" t="n">
        <f aca="false">calc!$I$189</f>
        <v>280.816921468858</v>
      </c>
      <c r="H189" s="86" t="n">
        <f aca="false">IF(ABS(G189-G188)&lt;100,G189,"")</f>
        <v>280.816921468858</v>
      </c>
    </row>
    <row r="190" customFormat="false" ht="17" hidden="false" customHeight="true" outlineLevel="0" collapsed="false">
      <c r="C190" s="21" t="n">
        <f aca="false">calc!$D$190</f>
        <v>8</v>
      </c>
      <c r="D190" s="21" t="n">
        <f aca="false">calc!$E$190</f>
        <v>7</v>
      </c>
      <c r="E190" s="21" t="n">
        <f aca="false">calc!$K$190</f>
        <v>189</v>
      </c>
      <c r="F190" s="84" t="n">
        <f aca="false">calc!$G$190</f>
        <v>-10.7722709155905</v>
      </c>
      <c r="G190" s="85" t="n">
        <f aca="false">calc!$I$190</f>
        <v>268.40357864626</v>
      </c>
      <c r="H190" s="86" t="n">
        <f aca="false">IF(ABS(G190-G189)&lt;100,G190,"")</f>
        <v>268.40357864626</v>
      </c>
    </row>
    <row r="191" customFormat="false" ht="17" hidden="false" customHeight="true" outlineLevel="0" collapsed="false">
      <c r="C191" s="21" t="n">
        <f aca="false">calc!$D$191</f>
        <v>9</v>
      </c>
      <c r="D191" s="21" t="n">
        <f aca="false">calc!$E$191</f>
        <v>7</v>
      </c>
      <c r="E191" s="21" t="n">
        <f aca="false">calc!$K$191</f>
        <v>190</v>
      </c>
      <c r="F191" s="84" t="n">
        <f aca="false">calc!$G$191</f>
        <v>-7.6618983567561</v>
      </c>
      <c r="G191" s="85" t="n">
        <f aca="false">calc!$I$191</f>
        <v>255.783617698835</v>
      </c>
      <c r="H191" s="86" t="n">
        <f aca="false">IF(ABS(G191-G190)&lt;100,G191,"")</f>
        <v>255.783617698835</v>
      </c>
    </row>
    <row r="192" customFormat="false" ht="17" hidden="false" customHeight="true" outlineLevel="0" collapsed="false">
      <c r="C192" s="21" t="n">
        <f aca="false">calc!$D$192</f>
        <v>10</v>
      </c>
      <c r="D192" s="21" t="n">
        <f aca="false">calc!$E$192</f>
        <v>7</v>
      </c>
      <c r="E192" s="21" t="n">
        <f aca="false">calc!$K$192</f>
        <v>191</v>
      </c>
      <c r="F192" s="84" t="n">
        <f aca="false">calc!$G$192</f>
        <v>-3.68960574900264</v>
      </c>
      <c r="G192" s="85" t="n">
        <f aca="false">calc!$I$192</f>
        <v>242.931587277667</v>
      </c>
      <c r="H192" s="86" t="n">
        <f aca="false">IF(ABS(G192-G191)&lt;100,G192,"")</f>
        <v>242.931587277667</v>
      </c>
    </row>
    <row r="193" customFormat="false" ht="17" hidden="false" customHeight="true" outlineLevel="0" collapsed="false">
      <c r="C193" s="21" t="n">
        <f aca="false">calc!$D$193</f>
        <v>11</v>
      </c>
      <c r="D193" s="21" t="n">
        <f aca="false">calc!$E$193</f>
        <v>7</v>
      </c>
      <c r="E193" s="21" t="n">
        <f aca="false">calc!$K$193</f>
        <v>192</v>
      </c>
      <c r="F193" s="84" t="n">
        <f aca="false">calc!$G$193</f>
        <v>0.668666287168785</v>
      </c>
      <c r="G193" s="85" t="n">
        <f aca="false">calc!$I$193</f>
        <v>229.815624475785</v>
      </c>
      <c r="H193" s="86" t="n">
        <f aca="false">IF(ABS(G193-G192)&lt;100,G193,"")</f>
        <v>229.815624475785</v>
      </c>
    </row>
    <row r="194" customFormat="false" ht="17" hidden="false" customHeight="true" outlineLevel="0" collapsed="false">
      <c r="C194" s="21" t="n">
        <f aca="false">calc!$D$194</f>
        <v>12</v>
      </c>
      <c r="D194" s="21" t="n">
        <f aca="false">calc!$E$194</f>
        <v>7</v>
      </c>
      <c r="E194" s="21" t="n">
        <f aca="false">calc!$K$194</f>
        <v>193</v>
      </c>
      <c r="F194" s="84" t="n">
        <f aca="false">calc!$G$194</f>
        <v>4.74225846083961</v>
      </c>
      <c r="G194" s="85" t="n">
        <f aca="false">calc!$I$194</f>
        <v>216.399467613471</v>
      </c>
      <c r="H194" s="86" t="n">
        <f aca="false">IF(ABS(G194-G193)&lt;100,G194,"")</f>
        <v>216.399467613471</v>
      </c>
    </row>
    <row r="195" customFormat="false" ht="17" hidden="false" customHeight="true" outlineLevel="0" collapsed="false">
      <c r="C195" s="21" t="n">
        <f aca="false">calc!$D$195</f>
        <v>13</v>
      </c>
      <c r="D195" s="21" t="n">
        <f aca="false">calc!$E$195</f>
        <v>7</v>
      </c>
      <c r="E195" s="21" t="n">
        <f aca="false">calc!$K$195</f>
        <v>194</v>
      </c>
      <c r="F195" s="84" t="n">
        <f aca="false">calc!$G$195</f>
        <v>9.00130882570611</v>
      </c>
      <c r="G195" s="85" t="n">
        <f aca="false">calc!$I$195</f>
        <v>202.652174660669</v>
      </c>
      <c r="H195" s="86" t="n">
        <f aca="false">IF(ABS(G195-G194)&lt;100,G195,"")</f>
        <v>202.652174660669</v>
      </c>
    </row>
    <row r="196" customFormat="false" ht="17" hidden="false" customHeight="true" outlineLevel="0" collapsed="false">
      <c r="C196" s="21" t="n">
        <f aca="false">calc!$D$196</f>
        <v>14</v>
      </c>
      <c r="D196" s="21" t="n">
        <f aca="false">calc!$E$196</f>
        <v>7</v>
      </c>
      <c r="E196" s="21" t="n">
        <f aca="false">calc!$K$196</f>
        <v>195</v>
      </c>
      <c r="F196" s="84" t="n">
        <f aca="false">calc!$G$196</f>
        <v>12.9799734045658</v>
      </c>
      <c r="G196" s="85" t="n">
        <f aca="false">calc!$I$196</f>
        <v>188.568980266456</v>
      </c>
      <c r="H196" s="86" t="n">
        <f aca="false">IF(ABS(G196-G195)&lt;100,G196,"")</f>
        <v>188.568980266456</v>
      </c>
    </row>
    <row r="197" customFormat="false" ht="17" hidden="false" customHeight="true" outlineLevel="0" collapsed="false">
      <c r="C197" s="21" t="n">
        <f aca="false">calc!$D$197</f>
        <v>15</v>
      </c>
      <c r="D197" s="21" t="n">
        <f aca="false">calc!$E$197</f>
        <v>7</v>
      </c>
      <c r="E197" s="21" t="n">
        <f aca="false">calc!$K$197</f>
        <v>196</v>
      </c>
      <c r="F197" s="84" t="n">
        <f aca="false">calc!$G$197</f>
        <v>16.347674598386</v>
      </c>
      <c r="G197" s="85" t="n">
        <f aca="false">calc!$I$197</f>
        <v>174.200511786541</v>
      </c>
      <c r="H197" s="86" t="n">
        <f aca="false">IF(ABS(G197-G196)&lt;100,G197,"")</f>
        <v>174.200511786541</v>
      </c>
    </row>
    <row r="198" customFormat="false" ht="17" hidden="false" customHeight="true" outlineLevel="0" collapsed="false">
      <c r="C198" s="21" t="n">
        <f aca="false">calc!$D$198</f>
        <v>16</v>
      </c>
      <c r="D198" s="21" t="n">
        <f aca="false">calc!$E$198</f>
        <v>7</v>
      </c>
      <c r="E198" s="21" t="n">
        <f aca="false">calc!$K$198</f>
        <v>197</v>
      </c>
      <c r="F198" s="84" t="n">
        <f aca="false">calc!$G$198</f>
        <v>18.838224619763</v>
      </c>
      <c r="G198" s="85" t="n">
        <f aca="false">calc!$I$198</f>
        <v>159.67761579015</v>
      </c>
      <c r="H198" s="86" t="n">
        <f aca="false">IF(ABS(G198-G197)&lt;100,G198,"")</f>
        <v>159.67761579015</v>
      </c>
    </row>
    <row r="199" customFormat="false" ht="17" hidden="false" customHeight="true" outlineLevel="0" collapsed="false">
      <c r="C199" s="21" t="n">
        <f aca="false">calc!$D$199</f>
        <v>17</v>
      </c>
      <c r="D199" s="21" t="n">
        <f aca="false">calc!$E$199</f>
        <v>7</v>
      </c>
      <c r="E199" s="21" t="n">
        <f aca="false">calc!$K$199</f>
        <v>198</v>
      </c>
      <c r="F199" s="84" t="n">
        <f aca="false">calc!$G$199</f>
        <v>20.2766952582473</v>
      </c>
      <c r="G199" s="85" t="n">
        <f aca="false">calc!$I$199</f>
        <v>145.211496802765</v>
      </c>
      <c r="H199" s="86" t="n">
        <f aca="false">IF(ABS(G199-G198)&lt;100,G199,"")</f>
        <v>145.211496802765</v>
      </c>
    </row>
    <row r="200" customFormat="false" ht="17" hidden="false" customHeight="true" outlineLevel="0" collapsed="false">
      <c r="C200" s="21" t="n">
        <f aca="false">calc!$D$200</f>
        <v>18</v>
      </c>
      <c r="D200" s="21" t="n">
        <f aca="false">calc!$E$200</f>
        <v>7</v>
      </c>
      <c r="E200" s="21" t="n">
        <f aca="false">calc!$K$200</f>
        <v>199</v>
      </c>
      <c r="F200" s="84" t="n">
        <f aca="false">calc!$G$200</f>
        <v>20.6002746429456</v>
      </c>
      <c r="G200" s="85" t="n">
        <f aca="false">calc!$I$200</f>
        <v>131.055733719255</v>
      </c>
      <c r="H200" s="86" t="n">
        <f aca="false">IF(ABS(G200-G199)&lt;100,G200,"")</f>
        <v>131.055733719255</v>
      </c>
    </row>
    <row r="201" customFormat="false" ht="17" hidden="false" customHeight="true" outlineLevel="0" collapsed="false">
      <c r="C201" s="21" t="n">
        <f aca="false">calc!$D$201</f>
        <v>19</v>
      </c>
      <c r="D201" s="21" t="n">
        <f aca="false">calc!$E$201</f>
        <v>7</v>
      </c>
      <c r="E201" s="21" t="n">
        <f aca="false">calc!$K$201</f>
        <v>200</v>
      </c>
      <c r="F201" s="84" t="n">
        <f aca="false">calc!$G$201</f>
        <v>19.8524020327493</v>
      </c>
      <c r="G201" s="85" t="n">
        <f aca="false">calc!$I$201</f>
        <v>117.441677142243</v>
      </c>
      <c r="H201" s="86" t="n">
        <f aca="false">IF(ABS(G201-G200)&lt;100,G201,"")</f>
        <v>117.441677142243</v>
      </c>
    </row>
    <row r="202" customFormat="false" ht="17" hidden="false" customHeight="true" outlineLevel="0" collapsed="false">
      <c r="C202" s="21" t="n">
        <f aca="false">calc!$D$202</f>
        <v>20</v>
      </c>
      <c r="D202" s="21" t="n">
        <f aca="false">calc!$E$202</f>
        <v>7</v>
      </c>
      <c r="E202" s="21" t="n">
        <f aca="false">calc!$K$202</f>
        <v>201</v>
      </c>
      <c r="F202" s="84" t="n">
        <f aca="false">calc!$G$202</f>
        <v>18.1514887076968</v>
      </c>
      <c r="G202" s="85" t="n">
        <f aca="false">calc!$I$202</f>
        <v>104.520876916953</v>
      </c>
      <c r="H202" s="86" t="n">
        <f aca="false">IF(ABS(G202-G201)&lt;100,G202,"")</f>
        <v>104.520876916953</v>
      </c>
    </row>
    <row r="203" customFormat="false" ht="17" hidden="false" customHeight="true" outlineLevel="0" collapsed="false">
      <c r="C203" s="21" t="n">
        <f aca="false">calc!$D$203</f>
        <v>21</v>
      </c>
      <c r="D203" s="21" t="n">
        <f aca="false">calc!$E$203</f>
        <v>7</v>
      </c>
      <c r="E203" s="21" t="n">
        <f aca="false">calc!$K$203</f>
        <v>202</v>
      </c>
      <c r="F203" s="84" t="n">
        <f aca="false">calc!$G$203</f>
        <v>15.6504596029461</v>
      </c>
      <c r="G203" s="85" t="n">
        <f aca="false">calc!$I$203</f>
        <v>92.3421190209561</v>
      </c>
      <c r="H203" s="86" t="n">
        <f aca="false">IF(ABS(G203-G202)&lt;100,G203,"")</f>
        <v>92.3421190209561</v>
      </c>
    </row>
    <row r="204" customFormat="false" ht="17" hidden="false" customHeight="true" outlineLevel="0" collapsed="false">
      <c r="C204" s="21" t="n">
        <f aca="false">calc!$D$204</f>
        <v>22</v>
      </c>
      <c r="D204" s="21" t="n">
        <f aca="false">calc!$E$204</f>
        <v>7</v>
      </c>
      <c r="E204" s="21" t="n">
        <f aca="false">calc!$K$204</f>
        <v>203</v>
      </c>
      <c r="F204" s="84" t="n">
        <f aca="false">calc!$G$204</f>
        <v>12.505117054762</v>
      </c>
      <c r="G204" s="85" t="n">
        <f aca="false">calc!$I$204</f>
        <v>80.8636282447216</v>
      </c>
      <c r="H204" s="86" t="n">
        <f aca="false">IF(ABS(G204-G203)&lt;100,G204,"")</f>
        <v>80.8636282447216</v>
      </c>
    </row>
    <row r="205" customFormat="false" ht="17" hidden="false" customHeight="true" outlineLevel="0" collapsed="false">
      <c r="C205" s="21" t="n">
        <f aca="false">calc!$D$205</f>
        <v>23</v>
      </c>
      <c r="D205" s="21" t="n">
        <f aca="false">calc!$E$205</f>
        <v>7</v>
      </c>
      <c r="E205" s="21" t="n">
        <f aca="false">calc!$K$205</f>
        <v>204</v>
      </c>
      <c r="F205" s="84" t="n">
        <f aca="false">calc!$G$205</f>
        <v>8.8608445961852</v>
      </c>
      <c r="G205" s="85" t="n">
        <f aca="false">calc!$I$205</f>
        <v>69.9819837453262</v>
      </c>
      <c r="H205" s="86" t="n">
        <f aca="false">IF(ABS(G205-G204)&lt;100,G205,"")</f>
        <v>69.9819837453262</v>
      </c>
    </row>
    <row r="206" customFormat="false" ht="17" hidden="false" customHeight="true" outlineLevel="0" collapsed="false">
      <c r="C206" s="21" t="n">
        <f aca="false">calc!$D$206</f>
        <v>24</v>
      </c>
      <c r="D206" s="21" t="n">
        <f aca="false">calc!$E$206</f>
        <v>7</v>
      </c>
      <c r="E206" s="21" t="n">
        <f aca="false">calc!$K$206</f>
        <v>205</v>
      </c>
      <c r="F206" s="84" t="n">
        <f aca="false">calc!$G$206</f>
        <v>4.8646359883393</v>
      </c>
      <c r="G206" s="85" t="n">
        <f aca="false">calc!$I$206</f>
        <v>59.5597526493746</v>
      </c>
      <c r="H206" s="86" t="n">
        <f aca="false">IF(ABS(G206-G205)&lt;100,G206,"")</f>
        <v>59.5597526493746</v>
      </c>
    </row>
    <row r="207" customFormat="false" ht="17" hidden="false" customHeight="true" outlineLevel="0" collapsed="false">
      <c r="C207" s="21" t="n">
        <f aca="false">calc!$D$207</f>
        <v>25</v>
      </c>
      <c r="D207" s="21" t="n">
        <f aca="false">calc!$E$207</f>
        <v>7</v>
      </c>
      <c r="E207" s="21" t="n">
        <f aca="false">calc!$K$207</f>
        <v>206</v>
      </c>
      <c r="F207" s="84" t="n">
        <f aca="false">calc!$G$207</f>
        <v>0.785817228371556</v>
      </c>
      <c r="G207" s="85" t="n">
        <f aca="false">calc!$I$207</f>
        <v>49.4436892308418</v>
      </c>
      <c r="H207" s="86" t="n">
        <f aca="false">IF(ABS(G207-G206)&lt;100,G207,"")</f>
        <v>49.4436892308418</v>
      </c>
    </row>
    <row r="208" customFormat="false" ht="17" hidden="false" customHeight="true" outlineLevel="0" collapsed="false">
      <c r="C208" s="21" t="n">
        <f aca="false">calc!$D$208</f>
        <v>26</v>
      </c>
      <c r="D208" s="21" t="n">
        <f aca="false">calc!$E$208</f>
        <v>7</v>
      </c>
      <c r="E208" s="21" t="n">
        <f aca="false">calc!$K$208</f>
        <v>207</v>
      </c>
      <c r="F208" s="84" t="n">
        <f aca="false">calc!$G$208</f>
        <v>-4.0262271143118</v>
      </c>
      <c r="G208" s="85" t="n">
        <f aca="false">calc!$I$208</f>
        <v>39.4735295207166</v>
      </c>
      <c r="H208" s="86" t="n">
        <f aca="false">IF(ABS(G208-G207)&lt;100,G208,"")</f>
        <v>39.4735295207166</v>
      </c>
    </row>
    <row r="209" customFormat="false" ht="17" hidden="false" customHeight="true" outlineLevel="0" collapsed="false">
      <c r="C209" s="21" t="n">
        <f aca="false">calc!$D$209</f>
        <v>27</v>
      </c>
      <c r="D209" s="21" t="n">
        <f aca="false">calc!$E$209</f>
        <v>7</v>
      </c>
      <c r="E209" s="21" t="n">
        <f aca="false">calc!$K$209</f>
        <v>208</v>
      </c>
      <c r="F209" s="84" t="n">
        <f aca="false">calc!$G$209</f>
        <v>-8.83448470029837</v>
      </c>
      <c r="G209" s="85" t="n">
        <f aca="false">calc!$I$209</f>
        <v>29.4849824269087</v>
      </c>
      <c r="H209" s="86" t="n">
        <f aca="false">IF(ABS(G209-G208)&lt;100,G209,"")</f>
        <v>29.4849824269087</v>
      </c>
    </row>
    <row r="210" customFormat="false" ht="17" hidden="false" customHeight="true" outlineLevel="0" collapsed="false">
      <c r="C210" s="21" t="n">
        <f aca="false">calc!$D$210</f>
        <v>28</v>
      </c>
      <c r="D210" s="21" t="n">
        <f aca="false">calc!$E$210</f>
        <v>7</v>
      </c>
      <c r="E210" s="21" t="n">
        <f aca="false">calc!$K$210</f>
        <v>209</v>
      </c>
      <c r="F210" s="84" t="n">
        <f aca="false">calc!$G$210</f>
        <v>-13.3365462877944</v>
      </c>
      <c r="G210" s="85" t="n">
        <f aca="false">calc!$I$210</f>
        <v>19.3111511533311</v>
      </c>
      <c r="H210" s="86" t="n">
        <f aca="false">IF(ABS(G210-G209)&lt;100,G210,"")</f>
        <v>19.3111511533311</v>
      </c>
    </row>
    <row r="211" customFormat="false" ht="17" hidden="false" customHeight="true" outlineLevel="0" collapsed="false">
      <c r="C211" s="21" t="n">
        <f aca="false">calc!$D$211</f>
        <v>29</v>
      </c>
      <c r="D211" s="21" t="n">
        <f aca="false">calc!$E$211</f>
        <v>7</v>
      </c>
      <c r="E211" s="21" t="n">
        <f aca="false">calc!$K$211</f>
        <v>210</v>
      </c>
      <c r="F211" s="84" t="n">
        <f aca="false">calc!$G$211</f>
        <v>-17.6336192851397</v>
      </c>
      <c r="G211" s="85" t="n">
        <f aca="false">calc!$I$211</f>
        <v>8.78640485246524</v>
      </c>
      <c r="H211" s="86" t="n">
        <f aca="false">IF(ABS(G211-G210)&lt;100,G211,"")</f>
        <v>8.78640485246524</v>
      </c>
    </row>
    <row r="212" customFormat="false" ht="17" hidden="false" customHeight="true" outlineLevel="0" collapsed="false">
      <c r="C212" s="21" t="n">
        <f aca="false">calc!$D$212</f>
        <v>30</v>
      </c>
      <c r="D212" s="21" t="n">
        <f aca="false">calc!$E$212</f>
        <v>7</v>
      </c>
      <c r="E212" s="21" t="n">
        <f aca="false">calc!$K$212</f>
        <v>211</v>
      </c>
      <c r="F212" s="84" t="n">
        <f aca="false">calc!$G$212</f>
        <v>-21.5581341706187</v>
      </c>
      <c r="G212" s="85" t="n">
        <f aca="false">calc!$I$212</f>
        <v>357.756671225897</v>
      </c>
      <c r="H212" s="86" t="str">
        <f aca="false">IF(ABS(G212-G211)&lt;100,G212,"")</f>
        <v/>
      </c>
    </row>
    <row r="213" customFormat="false" ht="17" hidden="false" customHeight="true" outlineLevel="0" collapsed="false">
      <c r="C213" s="21" t="n">
        <f aca="false">calc!$D$213</f>
        <v>31</v>
      </c>
      <c r="D213" s="21" t="n">
        <f aca="false">calc!$E$213</f>
        <v>7</v>
      </c>
      <c r="E213" s="21" t="n">
        <f aca="false">calc!$K$213</f>
        <v>212</v>
      </c>
      <c r="F213" s="84" t="n">
        <f aca="false">calc!$G$213</f>
        <v>-24.9118696427928</v>
      </c>
      <c r="G213" s="85" t="n">
        <f aca="false">calc!$I$213</f>
        <v>346.099860962417</v>
      </c>
      <c r="H213" s="86" t="n">
        <f aca="false">IF(ABS(G213-G212)&lt;100,G213,"")</f>
        <v>346.099860962417</v>
      </c>
    </row>
    <row r="214" customFormat="false" ht="17" hidden="false" customHeight="true" outlineLevel="0" collapsed="false">
      <c r="C214" s="21" t="n">
        <f aca="false">calc!$D$214</f>
        <v>1</v>
      </c>
      <c r="D214" s="21" t="n">
        <f aca="false">calc!$E$214</f>
        <v>8</v>
      </c>
      <c r="E214" s="21" t="n">
        <f aca="false">calc!$K$214</f>
        <v>213</v>
      </c>
      <c r="F214" s="84" t="n">
        <f aca="false">calc!$G$214</f>
        <v>-27.4759681076577</v>
      </c>
      <c r="G214" s="85" t="n">
        <f aca="false">calc!$I$214</f>
        <v>333.757658871201</v>
      </c>
      <c r="H214" s="86" t="n">
        <f aca="false">IF(ABS(G214-G213)&lt;100,G214,"")</f>
        <v>333.757658871201</v>
      </c>
    </row>
    <row r="215" customFormat="false" ht="17" hidden="false" customHeight="true" outlineLevel="0" collapsed="false">
      <c r="C215" s="21" t="n">
        <f aca="false">calc!$D$215</f>
        <v>2</v>
      </c>
      <c r="D215" s="21" t="n">
        <f aca="false">calc!$E$215</f>
        <v>8</v>
      </c>
      <c r="E215" s="21" t="n">
        <f aca="false">calc!$K$215</f>
        <v>214</v>
      </c>
      <c r="F215" s="84" t="n">
        <f aca="false">calc!$G$215</f>
        <v>-29.0263150823796</v>
      </c>
      <c r="G215" s="85" t="n">
        <f aca="false">calc!$I$215</f>
        <v>320.772196861619</v>
      </c>
      <c r="H215" s="86" t="n">
        <f aca="false">IF(ABS(G215-G214)&lt;100,G215,"")</f>
        <v>320.772196861619</v>
      </c>
    </row>
    <row r="216" customFormat="false" ht="17" hidden="false" customHeight="true" outlineLevel="0" collapsed="false">
      <c r="C216" s="21" t="n">
        <f aca="false">calc!$D$216</f>
        <v>3</v>
      </c>
      <c r="D216" s="21" t="n">
        <f aca="false">calc!$E$216</f>
        <v>8</v>
      </c>
      <c r="E216" s="21" t="n">
        <f aca="false">calc!$K$216</f>
        <v>215</v>
      </c>
      <c r="F216" s="84" t="n">
        <f aca="false">calc!$G$216</f>
        <v>-29.3608883878337</v>
      </c>
      <c r="G216" s="85" t="n">
        <f aca="false">calc!$I$216</f>
        <v>307.308320569251</v>
      </c>
      <c r="H216" s="86" t="n">
        <f aca="false">IF(ABS(G216-G215)&lt;100,G216,"")</f>
        <v>307.308320569251</v>
      </c>
    </row>
    <row r="217" customFormat="false" ht="17" hidden="false" customHeight="true" outlineLevel="0" collapsed="false">
      <c r="C217" s="21" t="n">
        <f aca="false">calc!$D$217</f>
        <v>4</v>
      </c>
      <c r="D217" s="21" t="n">
        <f aca="false">calc!$E$217</f>
        <v>8</v>
      </c>
      <c r="E217" s="21" t="n">
        <f aca="false">calc!$K$217</f>
        <v>216</v>
      </c>
      <c r="F217" s="84" t="n">
        <f aca="false">calc!$G$217</f>
        <v>-28.3341646555097</v>
      </c>
      <c r="G217" s="85" t="n">
        <f aca="false">calc!$I$217</f>
        <v>293.635103721591</v>
      </c>
      <c r="H217" s="86" t="n">
        <f aca="false">IF(ABS(G217-G216)&lt;100,G217,"")</f>
        <v>293.635103721591</v>
      </c>
    </row>
    <row r="218" customFormat="false" ht="17" hidden="false" customHeight="true" outlineLevel="0" collapsed="false">
      <c r="C218" s="21" t="n">
        <f aca="false">calc!$D$218</f>
        <v>5</v>
      </c>
      <c r="D218" s="21" t="n">
        <f aca="false">calc!$E$218</f>
        <v>8</v>
      </c>
      <c r="E218" s="21" t="n">
        <f aca="false">calc!$K$218</f>
        <v>217</v>
      </c>
      <c r="F218" s="84" t="n">
        <f aca="false">calc!$G$218</f>
        <v>-25.886376898891</v>
      </c>
      <c r="G218" s="85" t="n">
        <f aca="false">calc!$I$218</f>
        <v>280.056907534126</v>
      </c>
      <c r="H218" s="86" t="n">
        <f aca="false">IF(ABS(G218-G217)&lt;100,G218,"")</f>
        <v>280.056907534126</v>
      </c>
    </row>
    <row r="219" customFormat="false" ht="17" hidden="false" customHeight="true" outlineLevel="0" collapsed="false">
      <c r="C219" s="21" t="n">
        <f aca="false">calc!$D$219</f>
        <v>6</v>
      </c>
      <c r="D219" s="21" t="n">
        <f aca="false">calc!$E$219</f>
        <v>8</v>
      </c>
      <c r="E219" s="21" t="n">
        <f aca="false">calc!$K$219</f>
        <v>218</v>
      </c>
      <c r="F219" s="84" t="n">
        <f aca="false">calc!$G$219</f>
        <v>-22.0560226442262</v>
      </c>
      <c r="G219" s="85" t="n">
        <f aca="false">calc!$I$219</f>
        <v>266.821477175015</v>
      </c>
      <c r="H219" s="86" t="n">
        <f aca="false">IF(ABS(G219-G218)&lt;100,G219,"")</f>
        <v>266.821477175015</v>
      </c>
    </row>
    <row r="220" customFormat="false" ht="17" hidden="false" customHeight="true" outlineLevel="0" collapsed="false">
      <c r="C220" s="21" t="n">
        <f aca="false">calc!$D$220</f>
        <v>7</v>
      </c>
      <c r="D220" s="21" t="n">
        <f aca="false">calc!$E$220</f>
        <v>8</v>
      </c>
      <c r="E220" s="21" t="n">
        <f aca="false">calc!$K$220</f>
        <v>219</v>
      </c>
      <c r="F220" s="84" t="n">
        <f aca="false">calc!$G$220</f>
        <v>-16.974924609806</v>
      </c>
      <c r="G220" s="85" t="n">
        <f aca="false">calc!$I$220</f>
        <v>254.05224461635</v>
      </c>
      <c r="H220" s="86" t="n">
        <f aca="false">IF(ABS(G220-G219)&lt;100,G220,"")</f>
        <v>254.05224461635</v>
      </c>
    </row>
    <row r="221" customFormat="false" ht="17" hidden="false" customHeight="true" outlineLevel="0" collapsed="false">
      <c r="C221" s="21" t="n">
        <f aca="false">calc!$D$221</f>
        <v>8</v>
      </c>
      <c r="D221" s="21" t="n">
        <f aca="false">calc!$E$221</f>
        <v>8</v>
      </c>
      <c r="E221" s="21" t="n">
        <f aca="false">calc!$K$221</f>
        <v>220</v>
      </c>
      <c r="F221" s="84" t="n">
        <f aca="false">calc!$G$221</f>
        <v>-10.8550188186868</v>
      </c>
      <c r="G221" s="85" t="n">
        <f aca="false">calc!$I$221</f>
        <v>241.729755508522</v>
      </c>
      <c r="H221" s="86" t="n">
        <f aca="false">IF(ABS(G221-G220)&lt;100,G221,"")</f>
        <v>241.729755508522</v>
      </c>
    </row>
    <row r="222" customFormat="false" ht="17" hidden="false" customHeight="true" outlineLevel="0" collapsed="false">
      <c r="C222" s="21" t="n">
        <f aca="false">calc!$D$222</f>
        <v>9</v>
      </c>
      <c r="D222" s="21" t="n">
        <f aca="false">calc!$E$222</f>
        <v>8</v>
      </c>
      <c r="E222" s="21" t="n">
        <f aca="false">calc!$K$222</f>
        <v>221</v>
      </c>
      <c r="F222" s="84" t="n">
        <f aca="false">calc!$G$222</f>
        <v>-3.63503062070817</v>
      </c>
      <c r="G222" s="85" t="n">
        <f aca="false">calc!$I$222</f>
        <v>229.711162301605</v>
      </c>
      <c r="H222" s="86" t="n">
        <f aca="false">IF(ABS(G222-G221)&lt;100,G222,"")</f>
        <v>229.711162301605</v>
      </c>
    </row>
    <row r="223" customFormat="false" ht="17" hidden="false" customHeight="true" outlineLevel="0" collapsed="false">
      <c r="C223" s="21" t="n">
        <f aca="false">calc!$D$223</f>
        <v>10</v>
      </c>
      <c r="D223" s="21" t="n">
        <f aca="false">calc!$E$223</f>
        <v>8</v>
      </c>
      <c r="E223" s="21" t="n">
        <f aca="false">calc!$K$223</f>
        <v>222</v>
      </c>
      <c r="F223" s="84" t="n">
        <f aca="false">calc!$G$223</f>
        <v>3.71955433694091</v>
      </c>
      <c r="G223" s="85" t="n">
        <f aca="false">calc!$I$223</f>
        <v>217.763603300055</v>
      </c>
      <c r="H223" s="86" t="n">
        <f aca="false">IF(ABS(G223-G222)&lt;100,G223,"")</f>
        <v>217.763603300055</v>
      </c>
    </row>
    <row r="224" customFormat="false" ht="17" hidden="false" customHeight="true" outlineLevel="0" collapsed="false">
      <c r="C224" s="21" t="n">
        <f aca="false">calc!$D$224</f>
        <v>11</v>
      </c>
      <c r="D224" s="21" t="n">
        <f aca="false">calc!$E$224</f>
        <v>8</v>
      </c>
      <c r="E224" s="21" t="n">
        <f aca="false">calc!$K$224</f>
        <v>223</v>
      </c>
      <c r="F224" s="84" t="n">
        <f aca="false">calc!$G$224</f>
        <v>11.0340911069532</v>
      </c>
      <c r="G224" s="85" t="n">
        <f aca="false">calc!$I$224</f>
        <v>205.59812385001</v>
      </c>
      <c r="H224" s="86" t="n">
        <f aca="false">IF(ABS(G224-G223)&lt;100,G224,"")</f>
        <v>205.59812385001</v>
      </c>
    </row>
    <row r="225" customFormat="false" ht="17" hidden="false" customHeight="true" outlineLevel="0" collapsed="false">
      <c r="C225" s="21" t="n">
        <f aca="false">calc!$D$225</f>
        <v>12</v>
      </c>
      <c r="D225" s="21" t="n">
        <f aca="false">calc!$E$225</f>
        <v>8</v>
      </c>
      <c r="E225" s="21" t="n">
        <f aca="false">calc!$K$225</f>
        <v>224</v>
      </c>
      <c r="F225" s="84" t="n">
        <f aca="false">calc!$G$225</f>
        <v>18.0772135030435</v>
      </c>
      <c r="G225" s="85" t="n">
        <f aca="false">calc!$I$225</f>
        <v>192.90860869166</v>
      </c>
      <c r="H225" s="86" t="n">
        <f aca="false">IF(ABS(G225-G224)&lt;100,G225,"")</f>
        <v>192.90860869166</v>
      </c>
    </row>
    <row r="226" customFormat="false" ht="17" hidden="false" customHeight="true" outlineLevel="0" collapsed="false">
      <c r="C226" s="21" t="n">
        <f aca="false">calc!$D$226</f>
        <v>13</v>
      </c>
      <c r="D226" s="21" t="n">
        <f aca="false">calc!$E$226</f>
        <v>8</v>
      </c>
      <c r="E226" s="21" t="n">
        <f aca="false">calc!$K$226</f>
        <v>225</v>
      </c>
      <c r="F226" s="84" t="n">
        <f aca="false">calc!$G$226</f>
        <v>24.3106002766458</v>
      </c>
      <c r="G226" s="85" t="n">
        <f aca="false">calc!$I$226</f>
        <v>179.433962067263</v>
      </c>
      <c r="H226" s="86" t="n">
        <f aca="false">IF(ABS(G226-G225)&lt;100,G226,"")</f>
        <v>179.433962067263</v>
      </c>
    </row>
    <row r="227" customFormat="false" ht="17" hidden="false" customHeight="true" outlineLevel="0" collapsed="false">
      <c r="C227" s="21" t="n">
        <f aca="false">calc!$D$227</f>
        <v>14</v>
      </c>
      <c r="D227" s="21" t="n">
        <f aca="false">calc!$E$227</f>
        <v>8</v>
      </c>
      <c r="E227" s="21" t="n">
        <f aca="false">calc!$K$227</f>
        <v>226</v>
      </c>
      <c r="F227" s="84" t="n">
        <f aca="false">calc!$G$227</f>
        <v>29.2580330466799</v>
      </c>
      <c r="G227" s="85" t="n">
        <f aca="false">calc!$I$227</f>
        <v>165.061357992382</v>
      </c>
      <c r="H227" s="86" t="n">
        <f aca="false">IF(ABS(G227-G226)&lt;100,G227,"")</f>
        <v>165.061357992382</v>
      </c>
    </row>
    <row r="228" customFormat="false" ht="17" hidden="false" customHeight="true" outlineLevel="0" collapsed="false">
      <c r="C228" s="21" t="n">
        <f aca="false">calc!$D$228</f>
        <v>15</v>
      </c>
      <c r="D228" s="21" t="n">
        <f aca="false">calc!$E$228</f>
        <v>8</v>
      </c>
      <c r="E228" s="21" t="n">
        <f aca="false">calc!$K$228</f>
        <v>227</v>
      </c>
      <c r="F228" s="84" t="n">
        <f aca="false">calc!$G$228</f>
        <v>32.5202735318135</v>
      </c>
      <c r="G228" s="85" t="n">
        <f aca="false">calc!$I$228</f>
        <v>149.951685920802</v>
      </c>
      <c r="H228" s="86" t="n">
        <f aca="false">IF(ABS(G228-G227)&lt;100,G228,"")</f>
        <v>149.951685920802</v>
      </c>
    </row>
    <row r="229" customFormat="false" ht="17" hidden="false" customHeight="true" outlineLevel="0" collapsed="false">
      <c r="C229" s="21" t="n">
        <f aca="false">calc!$D$229</f>
        <v>16</v>
      </c>
      <c r="D229" s="21" t="n">
        <f aca="false">calc!$E$229</f>
        <v>8</v>
      </c>
      <c r="E229" s="21" t="n">
        <f aca="false">calc!$K$229</f>
        <v>228</v>
      </c>
      <c r="F229" s="84" t="n">
        <f aca="false">calc!$G$229</f>
        <v>33.863109988864</v>
      </c>
      <c r="G229" s="85" t="n">
        <f aca="false">calc!$I$229</f>
        <v>134.590714823292</v>
      </c>
      <c r="H229" s="86" t="n">
        <f aca="false">IF(ABS(G229-G228)&lt;100,G229,"")</f>
        <v>134.590714823292</v>
      </c>
    </row>
    <row r="230" customFormat="false" ht="17" hidden="false" customHeight="true" outlineLevel="0" collapsed="false">
      <c r="C230" s="21" t="n">
        <f aca="false">calc!$D$230</f>
        <v>17</v>
      </c>
      <c r="D230" s="21" t="n">
        <f aca="false">calc!$E$230</f>
        <v>8</v>
      </c>
      <c r="E230" s="21" t="n">
        <f aca="false">calc!$K$230</f>
        <v>229</v>
      </c>
      <c r="F230" s="84" t="n">
        <f aca="false">calc!$G$230</f>
        <v>33.2840857337622</v>
      </c>
      <c r="G230" s="85" t="n">
        <f aca="false">calc!$I$230</f>
        <v>119.65040221653</v>
      </c>
      <c r="H230" s="86" t="n">
        <f aca="false">IF(ABS(G230-G229)&lt;100,G230,"")</f>
        <v>119.65040221653</v>
      </c>
    </row>
    <row r="231" customFormat="false" ht="17" hidden="false" customHeight="true" outlineLevel="0" collapsed="false">
      <c r="C231" s="21" t="n">
        <f aca="false">calc!$D$231</f>
        <v>18</v>
      </c>
      <c r="D231" s="21" t="n">
        <f aca="false">calc!$E$231</f>
        <v>8</v>
      </c>
      <c r="E231" s="21" t="n">
        <f aca="false">calc!$K$231</f>
        <v>230</v>
      </c>
      <c r="F231" s="84" t="n">
        <f aca="false">calc!$G$231</f>
        <v>30.9926158000663</v>
      </c>
      <c r="G231" s="85" t="n">
        <f aca="false">calc!$I$231</f>
        <v>105.709651491291</v>
      </c>
      <c r="H231" s="86" t="n">
        <f aca="false">IF(ABS(G231-G230)&lt;100,G231,"")</f>
        <v>105.709651491291</v>
      </c>
    </row>
    <row r="232" customFormat="false" ht="17" hidden="false" customHeight="true" outlineLevel="0" collapsed="false">
      <c r="C232" s="21" t="n">
        <f aca="false">calc!$D$232</f>
        <v>19</v>
      </c>
      <c r="D232" s="21" t="n">
        <f aca="false">calc!$E$232</f>
        <v>8</v>
      </c>
      <c r="E232" s="21" t="n">
        <f aca="false">calc!$K$232</f>
        <v>231</v>
      </c>
      <c r="F232" s="84" t="n">
        <f aca="false">calc!$G$232</f>
        <v>27.310134214084</v>
      </c>
      <c r="G232" s="85" t="n">
        <f aca="false">calc!$I$232</f>
        <v>93.0554967264304</v>
      </c>
      <c r="H232" s="86" t="n">
        <f aca="false">IF(ABS(G232-G231)&lt;100,G232,"")</f>
        <v>93.0554967264304</v>
      </c>
    </row>
    <row r="233" customFormat="false" ht="17" hidden="false" customHeight="true" outlineLevel="0" collapsed="false">
      <c r="C233" s="21" t="n">
        <f aca="false">calc!$D$233</f>
        <v>20</v>
      </c>
      <c r="D233" s="21" t="n">
        <f aca="false">calc!$E$233</f>
        <v>8</v>
      </c>
      <c r="E233" s="21" t="n">
        <f aca="false">calc!$K$233</f>
        <v>232</v>
      </c>
      <c r="F233" s="84" t="n">
        <f aca="false">calc!$G$233</f>
        <v>22.5643486430829</v>
      </c>
      <c r="G233" s="85" t="n">
        <f aca="false">calc!$I$233</f>
        <v>81.6823244191969</v>
      </c>
      <c r="H233" s="86" t="n">
        <f aca="false">IF(ABS(G233-G232)&lt;100,G233,"")</f>
        <v>81.6823244191969</v>
      </c>
    </row>
    <row r="234" customFormat="false" ht="17" hidden="false" customHeight="true" outlineLevel="0" collapsed="false">
      <c r="C234" s="21" t="n">
        <f aca="false">calc!$D$234</f>
        <v>21</v>
      </c>
      <c r="D234" s="21" t="n">
        <f aca="false">calc!$E$234</f>
        <v>8</v>
      </c>
      <c r="E234" s="21" t="n">
        <f aca="false">calc!$K$234</f>
        <v>233</v>
      </c>
      <c r="F234" s="84" t="n">
        <f aca="false">calc!$G$234</f>
        <v>17.0327056844408</v>
      </c>
      <c r="G234" s="85" t="n">
        <f aca="false">calc!$I$234</f>
        <v>71.403183872686</v>
      </c>
      <c r="H234" s="86" t="n">
        <f aca="false">IF(ABS(G234-G233)&lt;100,G234,"")</f>
        <v>71.403183872686</v>
      </c>
    </row>
    <row r="235" customFormat="false" ht="17" hidden="false" customHeight="true" outlineLevel="0" collapsed="false">
      <c r="C235" s="21" t="n">
        <f aca="false">calc!$D$235</f>
        <v>22</v>
      </c>
      <c r="D235" s="21" t="n">
        <f aca="false">calc!$E$235</f>
        <v>8</v>
      </c>
      <c r="E235" s="21" t="n">
        <f aca="false">calc!$K$235</f>
        <v>234</v>
      </c>
      <c r="F235" s="84" t="n">
        <f aca="false">calc!$G$235</f>
        <v>10.9374752128795</v>
      </c>
      <c r="G235" s="85" t="n">
        <f aca="false">calc!$I$235</f>
        <v>61.9554730043669</v>
      </c>
      <c r="H235" s="86" t="n">
        <f aca="false">IF(ABS(G235-G234)&lt;100,G235,"")</f>
        <v>61.9554730043669</v>
      </c>
    </row>
    <row r="236" customFormat="false" ht="17" hidden="false" customHeight="true" outlineLevel="0" collapsed="false">
      <c r="C236" s="21" t="n">
        <f aca="false">calc!$D$236</f>
        <v>23</v>
      </c>
      <c r="D236" s="21" t="n">
        <f aca="false">calc!$E$236</f>
        <v>8</v>
      </c>
      <c r="E236" s="21" t="n">
        <f aca="false">calc!$K$236</f>
        <v>235</v>
      </c>
      <c r="F236" s="84" t="n">
        <f aca="false">calc!$G$236</f>
        <v>4.49514822308539</v>
      </c>
      <c r="G236" s="85" t="n">
        <f aca="false">calc!$I$236</f>
        <v>53.0586093962286</v>
      </c>
      <c r="H236" s="86" t="n">
        <f aca="false">IF(ABS(G236-G235)&lt;100,G236,"")</f>
        <v>53.0586093962286</v>
      </c>
    </row>
    <row r="237" customFormat="false" ht="17" hidden="false" customHeight="true" outlineLevel="0" collapsed="false">
      <c r="C237" s="21" t="n">
        <f aca="false">calc!$D$237</f>
        <v>24</v>
      </c>
      <c r="D237" s="21" t="n">
        <f aca="false">calc!$E$237</f>
        <v>8</v>
      </c>
      <c r="E237" s="21" t="n">
        <f aca="false">calc!$K$237</f>
        <v>236</v>
      </c>
      <c r="F237" s="84" t="n">
        <f aca="false">calc!$G$237</f>
        <v>-1.82305197294961</v>
      </c>
      <c r="G237" s="85" t="n">
        <f aca="false">calc!$I$237</f>
        <v>44.4318037940259</v>
      </c>
      <c r="H237" s="86" t="n">
        <f aca="false">IF(ABS(G237-G236)&lt;100,G237,"")</f>
        <v>44.4318037940259</v>
      </c>
    </row>
    <row r="238" customFormat="false" ht="17" hidden="false" customHeight="true" outlineLevel="0" collapsed="false">
      <c r="C238" s="21" t="n">
        <f aca="false">calc!$D$238</f>
        <v>25</v>
      </c>
      <c r="D238" s="21" t="n">
        <f aca="false">calc!$E$238</f>
        <v>8</v>
      </c>
      <c r="E238" s="21" t="n">
        <f aca="false">calc!$K$238</f>
        <v>237</v>
      </c>
      <c r="F238" s="84" t="n">
        <f aca="false">calc!$G$238</f>
        <v>-9.5315043086638</v>
      </c>
      <c r="G238" s="85" t="n">
        <f aca="false">calc!$I$238</f>
        <v>35.7894185117546</v>
      </c>
      <c r="H238" s="86" t="n">
        <f aca="false">IF(ABS(G238-G237)&lt;100,G238,"")</f>
        <v>35.7894185117546</v>
      </c>
    </row>
    <row r="239" customFormat="false" ht="17" hidden="false" customHeight="true" outlineLevel="0" collapsed="false">
      <c r="C239" s="21" t="n">
        <f aca="false">calc!$D$239</f>
        <v>26</v>
      </c>
      <c r="D239" s="21" t="n">
        <f aca="false">calc!$E$239</f>
        <v>8</v>
      </c>
      <c r="E239" s="21" t="n">
        <f aca="false">calc!$K$239</f>
        <v>238</v>
      </c>
      <c r="F239" s="84" t="n">
        <f aca="false">calc!$G$239</f>
        <v>-16.4502331590284</v>
      </c>
      <c r="G239" s="85" t="n">
        <f aca="false">calc!$I$239</f>
        <v>26.82622771722</v>
      </c>
      <c r="H239" s="86" t="n">
        <f aca="false">IF(ABS(G239-G238)&lt;100,G239,"")</f>
        <v>26.82622771722</v>
      </c>
    </row>
    <row r="240" customFormat="false" ht="17" hidden="false" customHeight="true" outlineLevel="0" collapsed="false">
      <c r="C240" s="21" t="n">
        <f aca="false">calc!$D$240</f>
        <v>27</v>
      </c>
      <c r="D240" s="21" t="n">
        <f aca="false">calc!$E$240</f>
        <v>8</v>
      </c>
      <c r="E240" s="21" t="n">
        <f aca="false">calc!$K$240</f>
        <v>239</v>
      </c>
      <c r="F240" s="84" t="n">
        <f aca="false">calc!$G$240</f>
        <v>-23.1859289852808</v>
      </c>
      <c r="G240" s="85" t="n">
        <f aca="false">calc!$I$240</f>
        <v>17.2011751740043</v>
      </c>
      <c r="H240" s="86" t="n">
        <f aca="false">IF(ABS(G240-G239)&lt;100,G240,"")</f>
        <v>17.2011751740043</v>
      </c>
    </row>
    <row r="241" customFormat="false" ht="17" hidden="false" customHeight="true" outlineLevel="0" collapsed="false">
      <c r="C241" s="21" t="n">
        <f aca="false">calc!$D$241</f>
        <v>28</v>
      </c>
      <c r="D241" s="21" t="n">
        <f aca="false">calc!$E$241</f>
        <v>8</v>
      </c>
      <c r="E241" s="21" t="n">
        <f aca="false">calc!$K$241</f>
        <v>240</v>
      </c>
      <c r="F241" s="84" t="n">
        <f aca="false">calc!$G$241</f>
        <v>-29.4842292386573</v>
      </c>
      <c r="G241" s="85" t="n">
        <f aca="false">calc!$I$241</f>
        <v>6.53187918562955</v>
      </c>
      <c r="H241" s="86" t="n">
        <f aca="false">IF(ABS(G241-G240)&lt;100,G241,"")</f>
        <v>6.53187918562955</v>
      </c>
    </row>
    <row r="242" customFormat="false" ht="17" hidden="false" customHeight="true" outlineLevel="0" collapsed="false">
      <c r="C242" s="21" t="n">
        <f aca="false">calc!$D$242</f>
        <v>29</v>
      </c>
      <c r="D242" s="21" t="n">
        <f aca="false">calc!$E$242</f>
        <v>8</v>
      </c>
      <c r="E242" s="21" t="n">
        <f aca="false">calc!$K$242</f>
        <v>241</v>
      </c>
      <c r="F242" s="84" t="n">
        <f aca="false">calc!$G$242</f>
        <v>-34.9985935837726</v>
      </c>
      <c r="G242" s="85" t="n">
        <f aca="false">calc!$I$242</f>
        <v>354.427064430384</v>
      </c>
      <c r="H242" s="86" t="str">
        <f aca="false">IF(ABS(G242-G241)&lt;100,G242,"")</f>
        <v/>
      </c>
    </row>
    <row r="243" customFormat="false" ht="17" hidden="false" customHeight="true" outlineLevel="0" collapsed="false">
      <c r="C243" s="21" t="n">
        <f aca="false">calc!$D$243</f>
        <v>30</v>
      </c>
      <c r="D243" s="21" t="n">
        <f aca="false">calc!$E$243</f>
        <v>8</v>
      </c>
      <c r="E243" s="21" t="n">
        <f aca="false">calc!$K$243</f>
        <v>242</v>
      </c>
      <c r="F243" s="84" t="n">
        <f aca="false">calc!$G$243</f>
        <v>-39.2762967641859</v>
      </c>
      <c r="G243" s="85" t="n">
        <f aca="false">calc!$I$243</f>
        <v>340.60691568073</v>
      </c>
      <c r="H243" s="86" t="n">
        <f aca="false">IF(ABS(G243-G242)&lt;100,G243,"")</f>
        <v>340.60691568073</v>
      </c>
    </row>
    <row r="244" customFormat="false" ht="17" hidden="false" customHeight="true" outlineLevel="0" collapsed="false">
      <c r="C244" s="21" t="n">
        <f aca="false">calc!$D$244</f>
        <v>31</v>
      </c>
      <c r="D244" s="21" t="n">
        <f aca="false">calc!$E$244</f>
        <v>8</v>
      </c>
      <c r="E244" s="21" t="n">
        <f aca="false">calc!$K$244</f>
        <v>243</v>
      </c>
      <c r="F244" s="84" t="n">
        <f aca="false">calc!$G$244</f>
        <v>-41.7943207833465</v>
      </c>
      <c r="G244" s="85" t="n">
        <f aca="false">calc!$I$244</f>
        <v>325.146500100049</v>
      </c>
      <c r="H244" s="86" t="n">
        <f aca="false">IF(ABS(G244-G243)&lt;100,G244,"")</f>
        <v>325.146500100049</v>
      </c>
    </row>
    <row r="245" customFormat="false" ht="17" hidden="false" customHeight="true" outlineLevel="0" collapsed="false">
      <c r="C245" s="21" t="n">
        <f aca="false">calc!$D$245</f>
        <v>1</v>
      </c>
      <c r="D245" s="21" t="n">
        <f aca="false">calc!$E$245</f>
        <v>9</v>
      </c>
      <c r="E245" s="21" t="n">
        <f aca="false">calc!$K$245</f>
        <v>244</v>
      </c>
      <c r="F245" s="84" t="n">
        <f aca="false">calc!$G$245</f>
        <v>-42.09292875295</v>
      </c>
      <c r="G245" s="85" t="n">
        <f aca="false">calc!$I$245</f>
        <v>308.715440504228</v>
      </c>
      <c r="H245" s="86" t="n">
        <f aca="false">IF(ABS(G245-G244)&lt;100,G245,"")</f>
        <v>308.715440504228</v>
      </c>
    </row>
    <row r="246" customFormat="false" ht="17" hidden="false" customHeight="true" outlineLevel="0" collapsed="false">
      <c r="C246" s="21" t="n">
        <f aca="false">calc!$D$246</f>
        <v>2</v>
      </c>
      <c r="D246" s="21" t="n">
        <f aca="false">calc!$E$246</f>
        <v>9</v>
      </c>
      <c r="E246" s="21" t="n">
        <f aca="false">calc!$K$246</f>
        <v>245</v>
      </c>
      <c r="F246" s="84" t="n">
        <f aca="false">calc!$G$246</f>
        <v>-39.9689901050698</v>
      </c>
      <c r="G246" s="85" t="n">
        <f aca="false">calc!$I$246</f>
        <v>292.456403005508</v>
      </c>
      <c r="H246" s="86" t="n">
        <f aca="false">IF(ABS(G246-G245)&lt;100,G246,"")</f>
        <v>292.456403005508</v>
      </c>
    </row>
    <row r="247" customFormat="false" ht="17" hidden="false" customHeight="true" outlineLevel="0" collapsed="false">
      <c r="C247" s="21" t="n">
        <f aca="false">calc!$D$247</f>
        <v>3</v>
      </c>
      <c r="D247" s="21" t="n">
        <f aca="false">calc!$E$247</f>
        <v>9</v>
      </c>
      <c r="E247" s="21" t="n">
        <f aca="false">calc!$K$247</f>
        <v>246</v>
      </c>
      <c r="F247" s="84" t="n">
        <f aca="false">calc!$G$247</f>
        <v>-35.5649524606044</v>
      </c>
      <c r="G247" s="85" t="n">
        <f aca="false">calc!$I$247</f>
        <v>277.407578851371</v>
      </c>
      <c r="H247" s="86" t="n">
        <f aca="false">IF(ABS(G247-G246)&lt;100,G247,"")</f>
        <v>277.407578851371</v>
      </c>
    </row>
    <row r="248" customFormat="false" ht="17" hidden="false" customHeight="true" outlineLevel="0" collapsed="false">
      <c r="C248" s="21" t="n">
        <f aca="false">calc!$D$248</f>
        <v>4</v>
      </c>
      <c r="D248" s="21" t="n">
        <f aca="false">calc!$E$248</f>
        <v>9</v>
      </c>
      <c r="E248" s="21" t="n">
        <f aca="false">calc!$K$248</f>
        <v>247</v>
      </c>
      <c r="F248" s="84" t="n">
        <f aca="false">calc!$G$248</f>
        <v>-29.2635292447453</v>
      </c>
      <c r="G248" s="85" t="n">
        <f aca="false">calc!$I$248</f>
        <v>264.028054788802</v>
      </c>
      <c r="H248" s="86" t="n">
        <f aca="false">IF(ABS(G248-G247)&lt;100,G248,"")</f>
        <v>264.028054788802</v>
      </c>
    </row>
    <row r="249" customFormat="false" ht="17" hidden="false" customHeight="true" outlineLevel="0" collapsed="false">
      <c r="C249" s="21" t="n">
        <f aca="false">calc!$D$249</f>
        <v>5</v>
      </c>
      <c r="D249" s="21" t="n">
        <f aca="false">calc!$E$249</f>
        <v>9</v>
      </c>
      <c r="E249" s="21" t="n">
        <f aca="false">calc!$K$249</f>
        <v>248</v>
      </c>
      <c r="F249" s="84" t="n">
        <f aca="false">calc!$G$249</f>
        <v>-21.5162263860105</v>
      </c>
      <c r="G249" s="85" t="n">
        <f aca="false">calc!$I$249</f>
        <v>252.221009238197</v>
      </c>
      <c r="H249" s="86" t="n">
        <f aca="false">IF(ABS(G249-G248)&lt;100,G249,"")</f>
        <v>252.221009238197</v>
      </c>
    </row>
    <row r="250" customFormat="false" ht="17" hidden="false" customHeight="true" outlineLevel="0" collapsed="false">
      <c r="C250" s="21" t="n">
        <f aca="false">calc!$D$250</f>
        <v>6</v>
      </c>
      <c r="D250" s="21" t="n">
        <f aca="false">calc!$E$250</f>
        <v>9</v>
      </c>
      <c r="E250" s="21" t="n">
        <f aca="false">calc!$K$250</f>
        <v>249</v>
      </c>
      <c r="F250" s="84" t="n">
        <f aca="false">calc!$G$250</f>
        <v>-12.7486172808899</v>
      </c>
      <c r="G250" s="85" t="n">
        <f aca="false">calc!$I$250</f>
        <v>241.598907103243</v>
      </c>
      <c r="H250" s="86" t="n">
        <f aca="false">IF(ABS(G250-G249)&lt;100,G250,"")</f>
        <v>241.598907103243</v>
      </c>
    </row>
    <row r="251" customFormat="false" ht="17" hidden="false" customHeight="true" outlineLevel="0" collapsed="false">
      <c r="C251" s="21" t="n">
        <f aca="false">calc!$D$251</f>
        <v>7</v>
      </c>
      <c r="D251" s="21" t="n">
        <f aca="false">calc!$E$251</f>
        <v>9</v>
      </c>
      <c r="E251" s="21" t="n">
        <f aca="false">calc!$K$251</f>
        <v>250</v>
      </c>
      <c r="F251" s="84" t="n">
        <f aca="false">calc!$G$251</f>
        <v>-2.78901082351454</v>
      </c>
      <c r="G251" s="85" t="n">
        <f aca="false">calc!$I$251</f>
        <v>231.681738715524</v>
      </c>
      <c r="H251" s="86" t="n">
        <f aca="false">IF(ABS(G251-G250)&lt;100,G251,"")</f>
        <v>231.681738715524</v>
      </c>
    </row>
    <row r="252" customFormat="false" ht="17" hidden="false" customHeight="true" outlineLevel="0" collapsed="false">
      <c r="C252" s="21" t="n">
        <f aca="false">calc!$D$252</f>
        <v>8</v>
      </c>
      <c r="D252" s="21" t="n">
        <f aca="false">calc!$E$252</f>
        <v>9</v>
      </c>
      <c r="E252" s="21" t="n">
        <f aca="false">calc!$K$252</f>
        <v>251</v>
      </c>
      <c r="F252" s="84" t="n">
        <f aca="false">calc!$G$252</f>
        <v>6.67349269660506</v>
      </c>
      <c r="G252" s="85" t="n">
        <f aca="false">calc!$I$252</f>
        <v>221.970219149574</v>
      </c>
      <c r="H252" s="86" t="n">
        <f aca="false">IF(ABS(G252-G251)&lt;100,G252,"")</f>
        <v>221.970219149574</v>
      </c>
    </row>
    <row r="253" customFormat="false" ht="17" hidden="false" customHeight="true" outlineLevel="0" collapsed="false">
      <c r="C253" s="21" t="n">
        <f aca="false">calc!$D$253</f>
        <v>9</v>
      </c>
      <c r="D253" s="21" t="n">
        <f aca="false">calc!$E$253</f>
        <v>9</v>
      </c>
      <c r="E253" s="21" t="n">
        <f aca="false">calc!$K$253</f>
        <v>252</v>
      </c>
      <c r="F253" s="84" t="n">
        <f aca="false">calc!$G$253</f>
        <v>16.3093359448756</v>
      </c>
      <c r="G253" s="85" t="n">
        <f aca="false">calc!$I$253</f>
        <v>211.944380166223</v>
      </c>
      <c r="H253" s="86" t="n">
        <f aca="false">IF(ABS(G253-G252)&lt;100,G253,"")</f>
        <v>211.944380166223</v>
      </c>
    </row>
    <row r="254" customFormat="false" ht="17" hidden="false" customHeight="true" outlineLevel="0" collapsed="false">
      <c r="C254" s="21" t="n">
        <f aca="false">calc!$D$254</f>
        <v>10</v>
      </c>
      <c r="D254" s="21" t="n">
        <f aca="false">calc!$E$254</f>
        <v>9</v>
      </c>
      <c r="E254" s="21" t="n">
        <f aca="false">calc!$K$254</f>
        <v>253</v>
      </c>
      <c r="F254" s="84" t="n">
        <f aca="false">calc!$G$254</f>
        <v>25.5207649158607</v>
      </c>
      <c r="G254" s="85" t="n">
        <f aca="false">calc!$I$254</f>
        <v>201.038949669155</v>
      </c>
      <c r="H254" s="86" t="n">
        <f aca="false">IF(ABS(G254-G253)&lt;100,G254,"")</f>
        <v>201.038949669155</v>
      </c>
    </row>
    <row r="255" customFormat="false" ht="17" hidden="false" customHeight="true" outlineLevel="0" collapsed="false">
      <c r="C255" s="21" t="n">
        <f aca="false">calc!$D$255</f>
        <v>11</v>
      </c>
      <c r="D255" s="21" t="n">
        <f aca="false">calc!$E$255</f>
        <v>9</v>
      </c>
      <c r="E255" s="21" t="n">
        <f aca="false">calc!$K$255</f>
        <v>254</v>
      </c>
      <c r="F255" s="84" t="n">
        <f aca="false">calc!$G$255</f>
        <v>33.7630981929695</v>
      </c>
      <c r="G255" s="85" t="n">
        <f aca="false">calc!$I$255</f>
        <v>188.647267453145</v>
      </c>
      <c r="H255" s="86" t="n">
        <f aca="false">IF(ABS(G255-G254)&lt;100,G255,"")</f>
        <v>188.647267453145</v>
      </c>
    </row>
    <row r="256" customFormat="false" ht="17" hidden="false" customHeight="true" outlineLevel="0" collapsed="false">
      <c r="C256" s="21" t="n">
        <f aca="false">calc!$D$256</f>
        <v>12</v>
      </c>
      <c r="D256" s="21" t="n">
        <f aca="false">calc!$E$256</f>
        <v>9</v>
      </c>
      <c r="E256" s="21" t="n">
        <f aca="false">calc!$K$256</f>
        <v>255</v>
      </c>
      <c r="F256" s="84" t="n">
        <f aca="false">calc!$G$256</f>
        <v>40.423954285805</v>
      </c>
      <c r="G256" s="85" t="n">
        <f aca="false">calc!$I$256</f>
        <v>174.24441744614</v>
      </c>
      <c r="H256" s="86" t="n">
        <f aca="false">IF(ABS(G256-G255)&lt;100,G256,"")</f>
        <v>174.24441744614</v>
      </c>
    </row>
    <row r="257" customFormat="false" ht="17" hidden="false" customHeight="true" outlineLevel="0" collapsed="false">
      <c r="C257" s="21" t="n">
        <f aca="false">calc!$D$257</f>
        <v>13</v>
      </c>
      <c r="D257" s="21" t="n">
        <f aca="false">calc!$E$257</f>
        <v>9</v>
      </c>
      <c r="E257" s="21" t="n">
        <f aca="false">calc!$K$257</f>
        <v>256</v>
      </c>
      <c r="F257" s="84" t="n">
        <f aca="false">calc!$G$257</f>
        <v>44.8434718134226</v>
      </c>
      <c r="G257" s="85" t="n">
        <f aca="false">calc!$I$257</f>
        <v>157.749917497503</v>
      </c>
      <c r="H257" s="86" t="n">
        <f aca="false">IF(ABS(G257-G256)&lt;100,G257,"")</f>
        <v>157.749917497503</v>
      </c>
    </row>
    <row r="258" customFormat="false" ht="17" hidden="false" customHeight="true" outlineLevel="0" collapsed="false">
      <c r="C258" s="21" t="n">
        <f aca="false">calc!$D$258</f>
        <v>14</v>
      </c>
      <c r="D258" s="21" t="n">
        <f aca="false">calc!$E$258</f>
        <v>9</v>
      </c>
      <c r="E258" s="21" t="n">
        <f aca="false">calc!$K$258</f>
        <v>257</v>
      </c>
      <c r="F258" s="84" t="n">
        <f aca="false">calc!$G$258</f>
        <v>46.5067602139931</v>
      </c>
      <c r="G258" s="85" t="n">
        <f aca="false">calc!$I$258</f>
        <v>140.011930131076</v>
      </c>
      <c r="H258" s="86" t="n">
        <f aca="false">IF(ABS(G258-G257)&lt;100,G258,"")</f>
        <v>140.011930131076</v>
      </c>
    </row>
    <row r="259" customFormat="false" ht="17" hidden="false" customHeight="true" outlineLevel="0" collapsed="false">
      <c r="C259" s="21" t="n">
        <f aca="false">calc!$D$259</f>
        <v>15</v>
      </c>
      <c r="D259" s="21" t="n">
        <f aca="false">calc!$E$259</f>
        <v>9</v>
      </c>
      <c r="E259" s="21" t="n">
        <f aca="false">calc!$K$259</f>
        <v>258</v>
      </c>
      <c r="F259" s="84" t="n">
        <f aca="false">calc!$G$259</f>
        <v>45.3291633021874</v>
      </c>
      <c r="G259" s="85" t="n">
        <f aca="false">calc!$I$259</f>
        <v>122.705921541625</v>
      </c>
      <c r="H259" s="86" t="n">
        <f aca="false">IF(ABS(G259-G258)&lt;100,G259,"")</f>
        <v>122.705921541625</v>
      </c>
    </row>
    <row r="260" customFormat="false" ht="17" hidden="false" customHeight="true" outlineLevel="0" collapsed="false">
      <c r="C260" s="21" t="n">
        <f aca="false">calc!$D$260</f>
        <v>16</v>
      </c>
      <c r="D260" s="21" t="n">
        <f aca="false">calc!$E$260</f>
        <v>9</v>
      </c>
      <c r="E260" s="21" t="n">
        <f aca="false">calc!$K$260</f>
        <v>259</v>
      </c>
      <c r="F260" s="84" t="n">
        <f aca="false">calc!$G$260</f>
        <v>41.7225215938381</v>
      </c>
      <c r="G260" s="85" t="n">
        <f aca="false">calc!$I$260</f>
        <v>107.312503011916</v>
      </c>
      <c r="H260" s="86" t="n">
        <f aca="false">IF(ABS(G260-G259)&lt;100,G260,"")</f>
        <v>107.312503011916</v>
      </c>
    </row>
    <row r="261" customFormat="false" ht="17" hidden="false" customHeight="true" outlineLevel="0" collapsed="false">
      <c r="C261" s="21" t="n">
        <f aca="false">calc!$D$261</f>
        <v>17</v>
      </c>
      <c r="D261" s="21" t="n">
        <f aca="false">calc!$E$261</f>
        <v>9</v>
      </c>
      <c r="E261" s="21" t="n">
        <f aca="false">calc!$K$261</f>
        <v>260</v>
      </c>
      <c r="F261" s="84" t="n">
        <f aca="false">calc!$G$261</f>
        <v>36.32461902257</v>
      </c>
      <c r="G261" s="85" t="n">
        <f aca="false">calc!$I$261</f>
        <v>94.3468561027508</v>
      </c>
      <c r="H261" s="86" t="n">
        <f aca="false">IF(ABS(G261-G260)&lt;100,G261,"")</f>
        <v>94.3468561027508</v>
      </c>
    </row>
    <row r="262" customFormat="false" ht="17" hidden="false" customHeight="true" outlineLevel="0" collapsed="false">
      <c r="C262" s="21" t="n">
        <f aca="false">calc!$D$262</f>
        <v>18</v>
      </c>
      <c r="D262" s="21" t="n">
        <f aca="false">calc!$E$262</f>
        <v>9</v>
      </c>
      <c r="E262" s="21" t="n">
        <f aca="false">calc!$K$262</f>
        <v>261</v>
      </c>
      <c r="F262" s="84" t="n">
        <f aca="false">calc!$G$262</f>
        <v>29.7075300062083</v>
      </c>
      <c r="G262" s="85" t="n">
        <f aca="false">calc!$I$262</f>
        <v>83.5589174126969</v>
      </c>
      <c r="H262" s="86" t="n">
        <f aca="false">IF(ABS(G262-G261)&lt;100,G262,"")</f>
        <v>83.5589174126969</v>
      </c>
    </row>
    <row r="263" customFormat="false" ht="17" hidden="false" customHeight="true" outlineLevel="0" collapsed="false">
      <c r="C263" s="21" t="n">
        <f aca="false">calc!$D$263</f>
        <v>19</v>
      </c>
      <c r="D263" s="21" t="n">
        <f aca="false">calc!$E$263</f>
        <v>9</v>
      </c>
      <c r="E263" s="21" t="n">
        <f aca="false">calc!$K$263</f>
        <v>262</v>
      </c>
      <c r="F263" s="84" t="n">
        <f aca="false">calc!$G$263</f>
        <v>22.2762456718436</v>
      </c>
      <c r="G263" s="85" t="n">
        <f aca="false">calc!$I$263</f>
        <v>74.4273433320383</v>
      </c>
      <c r="H263" s="86" t="n">
        <f aca="false">IF(ABS(G263-G262)&lt;100,G263,"")</f>
        <v>74.4273433320383</v>
      </c>
    </row>
    <row r="264" customFormat="false" ht="17" hidden="false" customHeight="true" outlineLevel="0" collapsed="false">
      <c r="C264" s="21" t="n">
        <f aca="false">calc!$D$264</f>
        <v>20</v>
      </c>
      <c r="D264" s="21" t="n">
        <f aca="false">calc!$E$264</f>
        <v>9</v>
      </c>
      <c r="E264" s="21" t="n">
        <f aca="false">calc!$K$264</f>
        <v>263</v>
      </c>
      <c r="F264" s="84" t="n">
        <f aca="false">calc!$G$264</f>
        <v>14.2959196714706</v>
      </c>
      <c r="G264" s="85" t="n">
        <f aca="false">calc!$I$264</f>
        <v>66.433487268411</v>
      </c>
      <c r="H264" s="86" t="n">
        <f aca="false">IF(ABS(G264-G263)&lt;100,G264,"")</f>
        <v>66.433487268411</v>
      </c>
    </row>
    <row r="265" customFormat="false" ht="17" hidden="false" customHeight="true" outlineLevel="0" collapsed="false">
      <c r="C265" s="21" t="n">
        <f aca="false">calc!$D$265</f>
        <v>21</v>
      </c>
      <c r="D265" s="21" t="n">
        <f aca="false">calc!$E$265</f>
        <v>9</v>
      </c>
      <c r="E265" s="21" t="n">
        <f aca="false">calc!$K$265</f>
        <v>264</v>
      </c>
      <c r="F265" s="84" t="n">
        <f aca="false">calc!$G$265</f>
        <v>5.97411550203413</v>
      </c>
      <c r="G265" s="85" t="n">
        <f aca="false">calc!$I$265</f>
        <v>59.1319975399706</v>
      </c>
      <c r="H265" s="86" t="n">
        <f aca="false">IF(ABS(G265-G264)&lt;100,G265,"")</f>
        <v>59.1319975399706</v>
      </c>
    </row>
    <row r="266" customFormat="false" ht="17" hidden="false" customHeight="true" outlineLevel="0" collapsed="false">
      <c r="C266" s="21" t="n">
        <f aca="false">calc!$D$266</f>
        <v>22</v>
      </c>
      <c r="D266" s="21" t="n">
        <f aca="false">calc!$E$266</f>
        <v>9</v>
      </c>
      <c r="E266" s="21" t="n">
        <f aca="false">calc!$K$266</f>
        <v>265</v>
      </c>
      <c r="F266" s="84" t="n">
        <f aca="false">calc!$G$266</f>
        <v>-2.27797443219753</v>
      </c>
      <c r="G266" s="85" t="n">
        <f aca="false">calc!$I$266</f>
        <v>52.1350758170482</v>
      </c>
      <c r="H266" s="86" t="n">
        <f aca="false">IF(ABS(G266-G265)&lt;100,G266,"")</f>
        <v>52.1350758170482</v>
      </c>
    </row>
    <row r="267" customFormat="false" ht="17" hidden="false" customHeight="true" outlineLevel="0" collapsed="false">
      <c r="C267" s="21" t="n">
        <f aca="false">calc!$D$267</f>
        <v>23</v>
      </c>
      <c r="D267" s="21" t="n">
        <f aca="false">calc!$E$267</f>
        <v>9</v>
      </c>
      <c r="E267" s="21" t="n">
        <f aca="false">calc!$K$267</f>
        <v>266</v>
      </c>
      <c r="F267" s="84" t="n">
        <f aca="false">calc!$G$267</f>
        <v>-11.7751247979904</v>
      </c>
      <c r="G267" s="85" t="n">
        <f aca="false">calc!$I$267</f>
        <v>45.069598950376</v>
      </c>
      <c r="H267" s="86" t="n">
        <f aca="false">IF(ABS(G267-G266)&lt;100,G267,"")</f>
        <v>45.069598950376</v>
      </c>
    </row>
    <row r="268" customFormat="false" ht="17" hidden="false" customHeight="true" outlineLevel="0" collapsed="false">
      <c r="C268" s="21" t="n">
        <f aca="false">calc!$D$268</f>
        <v>24</v>
      </c>
      <c r="D268" s="21" t="n">
        <f aca="false">calc!$E$268</f>
        <v>9</v>
      </c>
      <c r="E268" s="21" t="n">
        <f aca="false">calc!$K$268</f>
        <v>267</v>
      </c>
      <c r="F268" s="84" t="n">
        <f aca="false">calc!$G$268</f>
        <v>-20.6513124805647</v>
      </c>
      <c r="G268" s="85" t="n">
        <f aca="false">calc!$I$268</f>
        <v>37.5223747494615</v>
      </c>
      <c r="H268" s="86" t="n">
        <f aca="false">IF(ABS(G268-G267)&lt;100,G268,"")</f>
        <v>37.5223747494615</v>
      </c>
    </row>
    <row r="269" customFormat="false" ht="17" hidden="false" customHeight="true" outlineLevel="0" collapsed="false">
      <c r="C269" s="21" t="n">
        <f aca="false">calc!$D$269</f>
        <v>25</v>
      </c>
      <c r="D269" s="21" t="n">
        <f aca="false">calc!$E$269</f>
        <v>9</v>
      </c>
      <c r="E269" s="21" t="n">
        <f aca="false">calc!$K$269</f>
        <v>268</v>
      </c>
      <c r="F269" s="84" t="n">
        <f aca="false">calc!$G$269</f>
        <v>-29.4080802262254</v>
      </c>
      <c r="G269" s="85" t="n">
        <f aca="false">calc!$I$269</f>
        <v>28.971399862568</v>
      </c>
      <c r="H269" s="86" t="n">
        <f aca="false">IF(ABS(G269-G268)&lt;100,G269,"")</f>
        <v>28.971399862568</v>
      </c>
    </row>
    <row r="270" customFormat="false" ht="17" hidden="false" customHeight="true" outlineLevel="0" collapsed="false">
      <c r="C270" s="21" t="n">
        <f aca="false">calc!$D$270</f>
        <v>26</v>
      </c>
      <c r="D270" s="21" t="n">
        <f aca="false">calc!$E$270</f>
        <v>9</v>
      </c>
      <c r="E270" s="21" t="n">
        <f aca="false">calc!$K$270</f>
        <v>269</v>
      </c>
      <c r="F270" s="84" t="n">
        <f aca="false">calc!$G$270</f>
        <v>-37.7334890376627</v>
      </c>
      <c r="G270" s="85" t="n">
        <f aca="false">calc!$I$270</f>
        <v>18.7040692076685</v>
      </c>
      <c r="H270" s="86" t="n">
        <f aca="false">IF(ABS(G270-G269)&lt;100,G270,"")</f>
        <v>18.7040692076685</v>
      </c>
    </row>
    <row r="271" customFormat="false" ht="17" hidden="false" customHeight="true" outlineLevel="0" collapsed="false">
      <c r="C271" s="21" t="n">
        <f aca="false">calc!$D$271</f>
        <v>27</v>
      </c>
      <c r="D271" s="21" t="n">
        <f aca="false">calc!$E$271</f>
        <v>9</v>
      </c>
      <c r="E271" s="21" t="n">
        <f aca="false">calc!$K$271</f>
        <v>270</v>
      </c>
      <c r="F271" s="84" t="n">
        <f aca="false">calc!$G$271</f>
        <v>-45.1097698173242</v>
      </c>
      <c r="G271" s="85" t="n">
        <f aca="false">calc!$I$271</f>
        <v>5.77435515099813</v>
      </c>
      <c r="H271" s="86" t="n">
        <f aca="false">IF(ABS(G271-G270)&lt;100,G271,"")</f>
        <v>5.77435515099813</v>
      </c>
    </row>
    <row r="272" customFormat="false" ht="17" hidden="false" customHeight="true" outlineLevel="0" collapsed="false">
      <c r="C272" s="21" t="n">
        <f aca="false">calc!$D$272</f>
        <v>28</v>
      </c>
      <c r="D272" s="21" t="n">
        <f aca="false">calc!$E$272</f>
        <v>9</v>
      </c>
      <c r="E272" s="21" t="n">
        <f aca="false">calc!$K$272</f>
        <v>271</v>
      </c>
      <c r="F272" s="84" t="n">
        <f aca="false">calc!$G$272</f>
        <v>-50.7034075580209</v>
      </c>
      <c r="G272" s="85" t="n">
        <f aca="false">calc!$I$272</f>
        <v>349.243210627392</v>
      </c>
      <c r="H272" s="86" t="str">
        <f aca="false">IF(ABS(G272-G271)&lt;100,G272,"")</f>
        <v/>
      </c>
    </row>
    <row r="273" customFormat="false" ht="17" hidden="false" customHeight="true" outlineLevel="0" collapsed="false">
      <c r="C273" s="21" t="n">
        <f aca="false">calc!$D$273</f>
        <v>29</v>
      </c>
      <c r="D273" s="21" t="n">
        <f aca="false">calc!$E$273</f>
        <v>9</v>
      </c>
      <c r="E273" s="21" t="n">
        <f aca="false">calc!$K$273</f>
        <v>272</v>
      </c>
      <c r="F273" s="84" t="n">
        <f aca="false">calc!$G$273</f>
        <v>-53.4085103920547</v>
      </c>
      <c r="G273" s="85" t="n">
        <f aca="false">calc!$I$273</f>
        <v>329.208760591173</v>
      </c>
      <c r="H273" s="86" t="n">
        <f aca="false">IF(ABS(G273-G272)&lt;100,G273,"")</f>
        <v>329.208760591173</v>
      </c>
    </row>
    <row r="274" customFormat="false" ht="17" hidden="false" customHeight="true" outlineLevel="0" collapsed="false">
      <c r="C274" s="21" t="n">
        <f aca="false">calc!$D$274</f>
        <v>30</v>
      </c>
      <c r="D274" s="21" t="n">
        <f aca="false">calc!$E$274</f>
        <v>9</v>
      </c>
      <c r="E274" s="21" t="n">
        <f aca="false">calc!$K$274</f>
        <v>273</v>
      </c>
      <c r="F274" s="84" t="n">
        <f aca="false">calc!$G$274</f>
        <v>-52.3793303715205</v>
      </c>
      <c r="G274" s="85" t="n">
        <f aca="false">calc!$I$274</f>
        <v>308.100486339201</v>
      </c>
      <c r="H274" s="86" t="n">
        <f aca="false">IF(ABS(G274-G273)&lt;100,G274,"")</f>
        <v>308.100486339201</v>
      </c>
    </row>
    <row r="275" customFormat="false" ht="17" hidden="false" customHeight="true" outlineLevel="0" collapsed="false">
      <c r="C275" s="21" t="n">
        <f aca="false">calc!$D$275</f>
        <v>1</v>
      </c>
      <c r="D275" s="21" t="n">
        <f aca="false">calc!$E$275</f>
        <v>10</v>
      </c>
      <c r="E275" s="21" t="n">
        <f aca="false">calc!$K$275</f>
        <v>274</v>
      </c>
      <c r="F275" s="84" t="n">
        <f aca="false">calc!$G$275</f>
        <v>-47.7475677278429</v>
      </c>
      <c r="G275" s="85" t="n">
        <f aca="false">calc!$I$275</f>
        <v>289.329946836831</v>
      </c>
      <c r="H275" s="86" t="n">
        <f aca="false">IF(ABS(G275-G274)&lt;100,G275,"")</f>
        <v>289.329946836831</v>
      </c>
    </row>
    <row r="276" customFormat="false" ht="17" hidden="false" customHeight="true" outlineLevel="0" collapsed="false">
      <c r="C276" s="21" t="n">
        <f aca="false">calc!$D$276</f>
        <v>2</v>
      </c>
      <c r="D276" s="21" t="n">
        <f aca="false">calc!$E$276</f>
        <v>10</v>
      </c>
      <c r="E276" s="21" t="n">
        <f aca="false">calc!$K$276</f>
        <v>275</v>
      </c>
      <c r="F276" s="84" t="n">
        <f aca="false">calc!$G$276</f>
        <v>-40.4329902764696</v>
      </c>
      <c r="G276" s="85" t="n">
        <f aca="false">calc!$I$276</f>
        <v>274.345887177779</v>
      </c>
      <c r="H276" s="86" t="n">
        <f aca="false">IF(ABS(G276-G275)&lt;100,G276,"")</f>
        <v>274.345887177779</v>
      </c>
    </row>
    <row r="277" customFormat="false" ht="17" hidden="false" customHeight="true" outlineLevel="0" collapsed="false">
      <c r="C277" s="21" t="n">
        <f aca="false">calc!$D$277</f>
        <v>3</v>
      </c>
      <c r="D277" s="21" t="n">
        <f aca="false">calc!$E$277</f>
        <v>10</v>
      </c>
      <c r="E277" s="21" t="n">
        <f aca="false">calc!$K$277</f>
        <v>276</v>
      </c>
      <c r="F277" s="84" t="n">
        <f aca="false">calc!$G$277</f>
        <v>-31.3932106836193</v>
      </c>
      <c r="G277" s="85" t="n">
        <f aca="false">calc!$I$277</f>
        <v>262.638657234415</v>
      </c>
      <c r="H277" s="86" t="n">
        <f aca="false">IF(ABS(G277-G276)&lt;100,G277,"")</f>
        <v>262.638657234415</v>
      </c>
    </row>
    <row r="278" customFormat="false" ht="17" hidden="false" customHeight="true" outlineLevel="0" collapsed="false">
      <c r="C278" s="21" t="n">
        <f aca="false">calc!$D$278</f>
        <v>4</v>
      </c>
      <c r="D278" s="21" t="n">
        <f aca="false">calc!$E$278</f>
        <v>10</v>
      </c>
      <c r="E278" s="21" t="n">
        <f aca="false">calc!$K$278</f>
        <v>277</v>
      </c>
      <c r="F278" s="84" t="n">
        <f aca="false">calc!$G$278</f>
        <v>-21.3032072851022</v>
      </c>
      <c r="G278" s="85" t="n">
        <f aca="false">calc!$I$278</f>
        <v>253.175487330255</v>
      </c>
      <c r="H278" s="86" t="n">
        <f aca="false">IF(ABS(G278-G277)&lt;100,G278,"")</f>
        <v>253.175487330255</v>
      </c>
    </row>
    <row r="279" customFormat="false" ht="17" hidden="false" customHeight="true" outlineLevel="0" collapsed="false">
      <c r="C279" s="21" t="n">
        <f aca="false">calc!$D$279</f>
        <v>5</v>
      </c>
      <c r="D279" s="21" t="n">
        <f aca="false">calc!$E$279</f>
        <v>10</v>
      </c>
      <c r="E279" s="21" t="n">
        <f aca="false">calc!$K$279</f>
        <v>278</v>
      </c>
      <c r="F279" s="84" t="n">
        <f aca="false">calc!$G$279</f>
        <v>-10.606286254029</v>
      </c>
      <c r="G279" s="85" t="n">
        <f aca="false">calc!$I$279</f>
        <v>245.059390550165</v>
      </c>
      <c r="H279" s="86" t="n">
        <f aca="false">IF(ABS(G279-G278)&lt;100,G279,"")</f>
        <v>245.059390550165</v>
      </c>
    </row>
    <row r="280" customFormat="false" ht="17" hidden="false" customHeight="true" outlineLevel="0" collapsed="false">
      <c r="C280" s="21" t="n">
        <f aca="false">calc!$D$280</f>
        <v>6</v>
      </c>
      <c r="D280" s="21" t="n">
        <f aca="false">calc!$E$280</f>
        <v>10</v>
      </c>
      <c r="E280" s="21" t="n">
        <f aca="false">calc!$K$280</f>
        <v>279</v>
      </c>
      <c r="F280" s="84" t="n">
        <f aca="false">calc!$G$280</f>
        <v>0.942583185636303</v>
      </c>
      <c r="G280" s="85" t="n">
        <f aca="false">calc!$I$280</f>
        <v>237.596461670446</v>
      </c>
      <c r="H280" s="86" t="n">
        <f aca="false">IF(ABS(G280-G279)&lt;100,G280,"")</f>
        <v>237.596461670446</v>
      </c>
    </row>
    <row r="281" customFormat="false" ht="17" hidden="false" customHeight="true" outlineLevel="0" collapsed="false">
      <c r="C281" s="21" t="n">
        <f aca="false">calc!$D$281</f>
        <v>7</v>
      </c>
      <c r="D281" s="21" t="n">
        <f aca="false">calc!$E$281</f>
        <v>10</v>
      </c>
      <c r="E281" s="21" t="n">
        <f aca="false">calc!$K$281</f>
        <v>280</v>
      </c>
      <c r="F281" s="84" t="n">
        <f aca="false">calc!$G$281</f>
        <v>11.7389357839974</v>
      </c>
      <c r="G281" s="85" t="n">
        <f aca="false">calc!$I$281</f>
        <v>230.204599771577</v>
      </c>
      <c r="H281" s="86" t="n">
        <f aca="false">IF(ABS(G281-G280)&lt;100,G281,"")</f>
        <v>230.204599771577</v>
      </c>
    </row>
    <row r="282" customFormat="false" ht="17" hidden="false" customHeight="true" outlineLevel="0" collapsed="false">
      <c r="C282" s="21" t="n">
        <f aca="false">calc!$D$282</f>
        <v>8</v>
      </c>
      <c r="D282" s="21" t="n">
        <f aca="false">calc!$E$282</f>
        <v>10</v>
      </c>
      <c r="E282" s="21" t="n">
        <f aca="false">calc!$K$282</f>
        <v>281</v>
      </c>
      <c r="F282" s="84" t="n">
        <f aca="false">calc!$G$282</f>
        <v>22.6393814492935</v>
      </c>
      <c r="G282" s="85" t="n">
        <f aca="false">calc!$I$282</f>
        <v>222.301541017367</v>
      </c>
      <c r="H282" s="86" t="n">
        <f aca="false">IF(ABS(G282-G281)&lt;100,G282,"")</f>
        <v>222.301541017367</v>
      </c>
    </row>
    <row r="283" customFormat="false" ht="17" hidden="false" customHeight="true" outlineLevel="0" collapsed="false">
      <c r="C283" s="21" t="n">
        <f aca="false">calc!$D$283</f>
        <v>9</v>
      </c>
      <c r="D283" s="21" t="n">
        <f aca="false">calc!$E$283</f>
        <v>10</v>
      </c>
      <c r="E283" s="21" t="n">
        <f aca="false">calc!$K$283</f>
        <v>282</v>
      </c>
      <c r="F283" s="84" t="n">
        <f aca="false">calc!$G$283</f>
        <v>33.0417471315544</v>
      </c>
      <c r="G283" s="85" t="n">
        <f aca="false">calc!$I$283</f>
        <v>213.187051900332</v>
      </c>
      <c r="H283" s="86" t="n">
        <f aca="false">IF(ABS(G283-G282)&lt;100,G283,"")</f>
        <v>213.187051900332</v>
      </c>
    </row>
    <row r="284" customFormat="false" ht="17" hidden="false" customHeight="true" outlineLevel="0" collapsed="false">
      <c r="C284" s="21" t="n">
        <f aca="false">calc!$D$284</f>
        <v>10</v>
      </c>
      <c r="D284" s="21" t="n">
        <f aca="false">calc!$E$284</f>
        <v>10</v>
      </c>
      <c r="E284" s="21" t="n">
        <f aca="false">calc!$K$284</f>
        <v>283</v>
      </c>
      <c r="F284" s="84" t="n">
        <f aca="false">calc!$G$284</f>
        <v>42.4718983921883</v>
      </c>
      <c r="G284" s="85" t="n">
        <f aca="false">calc!$I$284</f>
        <v>201.926446357535</v>
      </c>
      <c r="H284" s="86" t="n">
        <f aca="false">IF(ABS(G284-G283)&lt;100,G284,"")</f>
        <v>201.926446357535</v>
      </c>
    </row>
    <row r="285" customFormat="false" ht="17" hidden="false" customHeight="true" outlineLevel="0" collapsed="false">
      <c r="C285" s="21" t="n">
        <f aca="false">calc!$D$285</f>
        <v>11</v>
      </c>
      <c r="D285" s="21" t="n">
        <f aca="false">calc!$E$285</f>
        <v>10</v>
      </c>
      <c r="E285" s="21" t="n">
        <f aca="false">calc!$K$285</f>
        <v>284</v>
      </c>
      <c r="F285" s="84" t="n">
        <f aca="false">calc!$G$285</f>
        <v>50.2460710593058</v>
      </c>
      <c r="G285" s="85" t="n">
        <f aca="false">calc!$I$285</f>
        <v>187.35472329132</v>
      </c>
      <c r="H285" s="86" t="n">
        <f aca="false">IF(ABS(G285-G284)&lt;100,G285,"")</f>
        <v>187.35472329132</v>
      </c>
    </row>
    <row r="286" customFormat="false" ht="17" hidden="false" customHeight="true" outlineLevel="0" collapsed="false">
      <c r="C286" s="21" t="n">
        <f aca="false">calc!$D$286</f>
        <v>12</v>
      </c>
      <c r="D286" s="21" t="n">
        <f aca="false">calc!$E$286</f>
        <v>10</v>
      </c>
      <c r="E286" s="21" t="n">
        <f aca="false">calc!$K$286</f>
        <v>285</v>
      </c>
      <c r="F286" s="84" t="n">
        <f aca="false">calc!$G$286</f>
        <v>55.3974161219003</v>
      </c>
      <c r="G286" s="85" t="n">
        <f aca="false">calc!$I$286</f>
        <v>168.679587330982</v>
      </c>
      <c r="H286" s="86" t="n">
        <f aca="false">IF(ABS(G286-G285)&lt;100,G286,"")</f>
        <v>168.679587330982</v>
      </c>
    </row>
    <row r="287" customFormat="false" ht="17" hidden="false" customHeight="true" outlineLevel="0" collapsed="false">
      <c r="C287" s="21" t="n">
        <f aca="false">calc!$D$287</f>
        <v>13</v>
      </c>
      <c r="D287" s="21" t="n">
        <f aca="false">calc!$E$287</f>
        <v>10</v>
      </c>
      <c r="E287" s="21" t="n">
        <f aca="false">calc!$K$287</f>
        <v>286</v>
      </c>
      <c r="F287" s="84" t="n">
        <f aca="false">calc!$G$287</f>
        <v>56.9450812760121</v>
      </c>
      <c r="G287" s="85" t="n">
        <f aca="false">calc!$I$287</f>
        <v>147.171449016372</v>
      </c>
      <c r="H287" s="86" t="n">
        <f aca="false">IF(ABS(G287-G286)&lt;100,G287,"")</f>
        <v>147.171449016372</v>
      </c>
    </row>
    <row r="288" customFormat="false" ht="17" hidden="false" customHeight="true" outlineLevel="0" collapsed="false">
      <c r="C288" s="21" t="n">
        <f aca="false">calc!$D$288</f>
        <v>14</v>
      </c>
      <c r="D288" s="21" t="n">
        <f aca="false">calc!$E$288</f>
        <v>10</v>
      </c>
      <c r="E288" s="21" t="n">
        <f aca="false">calc!$K$288</f>
        <v>287</v>
      </c>
      <c r="F288" s="84" t="n">
        <f aca="false">calc!$G$288</f>
        <v>54.6801896834607</v>
      </c>
      <c r="G288" s="85" t="n">
        <f aca="false">calc!$I$288</f>
        <v>126.64239989843</v>
      </c>
      <c r="H288" s="86" t="n">
        <f aca="false">IF(ABS(G288-G287)&lt;100,G288,"")</f>
        <v>126.64239989843</v>
      </c>
    </row>
    <row r="289" customFormat="false" ht="17" hidden="false" customHeight="true" outlineLevel="0" collapsed="false">
      <c r="C289" s="21" t="n">
        <f aca="false">calc!$D$289</f>
        <v>15</v>
      </c>
      <c r="D289" s="21" t="n">
        <f aca="false">calc!$E$289</f>
        <v>10</v>
      </c>
      <c r="E289" s="21" t="n">
        <f aca="false">calc!$K$289</f>
        <v>288</v>
      </c>
      <c r="F289" s="84" t="n">
        <f aca="false">calc!$G$289</f>
        <v>49.4385432624617</v>
      </c>
      <c r="G289" s="85" t="n">
        <f aca="false">calc!$I$289</f>
        <v>110.032707571045</v>
      </c>
      <c r="H289" s="86" t="n">
        <f aca="false">IF(ABS(G289-G288)&lt;100,G289,"")</f>
        <v>110.032707571045</v>
      </c>
    </row>
    <row r="290" customFormat="false" ht="17" hidden="false" customHeight="true" outlineLevel="0" collapsed="false">
      <c r="C290" s="21" t="n">
        <f aca="false">calc!$D$290</f>
        <v>16</v>
      </c>
      <c r="D290" s="21" t="n">
        <f aca="false">calc!$E$290</f>
        <v>10</v>
      </c>
      <c r="E290" s="21" t="n">
        <f aca="false">calc!$K$290</f>
        <v>289</v>
      </c>
      <c r="F290" s="84" t="n">
        <f aca="false">calc!$G$290</f>
        <v>42.3184240994839</v>
      </c>
      <c r="G290" s="85" t="n">
        <f aca="false">calc!$I$290</f>
        <v>97.4996928504361</v>
      </c>
      <c r="H290" s="86" t="n">
        <f aca="false">IF(ABS(G290-G289)&lt;100,G290,"")</f>
        <v>97.4996928504361</v>
      </c>
    </row>
    <row r="291" customFormat="false" ht="17" hidden="false" customHeight="true" outlineLevel="0" collapsed="false">
      <c r="C291" s="21" t="n">
        <f aca="false">calc!$D$291</f>
        <v>17</v>
      </c>
      <c r="D291" s="21" t="n">
        <f aca="false">calc!$E$291</f>
        <v>10</v>
      </c>
      <c r="E291" s="21" t="n">
        <f aca="false">calc!$K$291</f>
        <v>290</v>
      </c>
      <c r="F291" s="84" t="n">
        <f aca="false">calc!$G$291</f>
        <v>34.0951486941955</v>
      </c>
      <c r="G291" s="85" t="n">
        <f aca="false">calc!$I$291</f>
        <v>87.9717494842596</v>
      </c>
      <c r="H291" s="86" t="n">
        <f aca="false">IF(ABS(G291-G290)&lt;100,G291,"")</f>
        <v>87.9717494842596</v>
      </c>
    </row>
    <row r="292" customFormat="false" ht="17" hidden="false" customHeight="true" outlineLevel="0" collapsed="false">
      <c r="C292" s="21" t="n">
        <f aca="false">calc!$D$292</f>
        <v>18</v>
      </c>
      <c r="D292" s="21" t="n">
        <f aca="false">calc!$E$292</f>
        <v>10</v>
      </c>
      <c r="E292" s="21" t="n">
        <f aca="false">calc!$K$292</f>
        <v>291</v>
      </c>
      <c r="F292" s="84" t="n">
        <f aca="false">calc!$G$292</f>
        <v>25.2023698841608</v>
      </c>
      <c r="G292" s="85" t="n">
        <f aca="false">calc!$I$292</f>
        <v>80.4043282516086</v>
      </c>
      <c r="H292" s="86" t="n">
        <f aca="false">IF(ABS(G292-G291)&lt;100,G292,"")</f>
        <v>80.4043282516086</v>
      </c>
    </row>
    <row r="293" customFormat="false" ht="17" hidden="false" customHeight="true" outlineLevel="0" collapsed="false">
      <c r="C293" s="21" t="n">
        <f aca="false">calc!$D$293</f>
        <v>19</v>
      </c>
      <c r="D293" s="21" t="n">
        <f aca="false">calc!$E$293</f>
        <v>10</v>
      </c>
      <c r="E293" s="21" t="n">
        <f aca="false">calc!$K$293</f>
        <v>292</v>
      </c>
      <c r="F293" s="84" t="n">
        <f aca="false">calc!$G$293</f>
        <v>15.8687711337017</v>
      </c>
      <c r="G293" s="85" t="n">
        <f aca="false">calc!$I$293</f>
        <v>74.0407922791556</v>
      </c>
      <c r="H293" s="86" t="n">
        <f aca="false">IF(ABS(G293-G292)&lt;100,G293,"")</f>
        <v>74.0407922791556</v>
      </c>
    </row>
    <row r="294" customFormat="false" ht="17" hidden="false" customHeight="true" outlineLevel="0" collapsed="false">
      <c r="C294" s="21" t="n">
        <f aca="false">calc!$D$294</f>
        <v>20</v>
      </c>
      <c r="D294" s="21" t="n">
        <f aca="false">calc!$E$294</f>
        <v>10</v>
      </c>
      <c r="E294" s="21" t="n">
        <f aca="false">calc!$K$294</f>
        <v>293</v>
      </c>
      <c r="F294" s="84" t="n">
        <f aca="false">calc!$G$294</f>
        <v>6.25171883872706</v>
      </c>
      <c r="G294" s="85" t="n">
        <f aca="false">calc!$I$294</f>
        <v>68.3447475368085</v>
      </c>
      <c r="H294" s="86" t="n">
        <f aca="false">IF(ABS(G294-G293)&lt;100,G294,"")</f>
        <v>68.3447475368085</v>
      </c>
    </row>
    <row r="295" customFormat="false" ht="17" hidden="false" customHeight="true" outlineLevel="0" collapsed="false">
      <c r="C295" s="21" t="n">
        <f aca="false">calc!$D$295</f>
        <v>21</v>
      </c>
      <c r="D295" s="21" t="n">
        <f aca="false">calc!$E$295</f>
        <v>10</v>
      </c>
      <c r="E295" s="21" t="n">
        <f aca="false">calc!$K$295</f>
        <v>294</v>
      </c>
      <c r="F295" s="84" t="n">
        <f aca="false">calc!$G$295</f>
        <v>-3.63910964350606</v>
      </c>
      <c r="G295" s="85" t="n">
        <f aca="false">calc!$I$295</f>
        <v>62.8963967224794</v>
      </c>
      <c r="H295" s="86" t="n">
        <f aca="false">IF(ABS(G295-G294)&lt;100,G295,"")</f>
        <v>62.8963967224794</v>
      </c>
    </row>
    <row r="296" customFormat="false" ht="17" hidden="false" customHeight="true" outlineLevel="0" collapsed="false">
      <c r="C296" s="21" t="n">
        <f aca="false">calc!$D$296</f>
        <v>22</v>
      </c>
      <c r="D296" s="21" t="n">
        <f aca="false">calc!$E$296</f>
        <v>10</v>
      </c>
      <c r="E296" s="21" t="n">
        <f aca="false">calc!$K$296</f>
        <v>295</v>
      </c>
      <c r="F296" s="84" t="n">
        <f aca="false">calc!$G$296</f>
        <v>-14.1221725964496</v>
      </c>
      <c r="G296" s="85" t="n">
        <f aca="false">calc!$I$296</f>
        <v>57.3014483697107</v>
      </c>
      <c r="H296" s="86" t="n">
        <f aca="false">IF(ABS(G296-G295)&lt;100,G296,"")</f>
        <v>57.3014483697107</v>
      </c>
    </row>
    <row r="297" customFormat="false" ht="17" hidden="false" customHeight="true" outlineLevel="0" collapsed="false">
      <c r="C297" s="21" t="n">
        <f aca="false">calc!$D$297</f>
        <v>23</v>
      </c>
      <c r="D297" s="21" t="n">
        <f aca="false">calc!$E$297</f>
        <v>10</v>
      </c>
      <c r="E297" s="21" t="n">
        <f aca="false">calc!$K$297</f>
        <v>296</v>
      </c>
      <c r="F297" s="84" t="n">
        <f aca="false">calc!$G$297</f>
        <v>-24.4364672480097</v>
      </c>
      <c r="G297" s="85" t="n">
        <f aca="false">calc!$I$297</f>
        <v>51.0968432201714</v>
      </c>
      <c r="H297" s="86" t="n">
        <f aca="false">IF(ABS(G297-G296)&lt;100,G297,"")</f>
        <v>51.0968432201714</v>
      </c>
    </row>
    <row r="298" customFormat="false" ht="17" hidden="false" customHeight="true" outlineLevel="0" collapsed="false">
      <c r="C298" s="21" t="n">
        <f aca="false">calc!$D$298</f>
        <v>24</v>
      </c>
      <c r="D298" s="21" t="n">
        <f aca="false">calc!$E$298</f>
        <v>10</v>
      </c>
      <c r="E298" s="21" t="n">
        <f aca="false">calc!$K$298</f>
        <v>297</v>
      </c>
      <c r="F298" s="84" t="n">
        <f aca="false">calc!$G$298</f>
        <v>-34.7433751968822</v>
      </c>
      <c r="G298" s="85" t="n">
        <f aca="false">calc!$I$298</f>
        <v>43.6169812202613</v>
      </c>
      <c r="H298" s="86" t="n">
        <f aca="false">IF(ABS(G298-G297)&lt;100,G298,"")</f>
        <v>43.6169812202613</v>
      </c>
    </row>
    <row r="299" customFormat="false" ht="17" hidden="false" customHeight="true" outlineLevel="0" collapsed="false">
      <c r="C299" s="21" t="n">
        <f aca="false">calc!$D$299</f>
        <v>25</v>
      </c>
      <c r="D299" s="21" t="n">
        <f aca="false">calc!$E$299</f>
        <v>10</v>
      </c>
      <c r="E299" s="21" t="n">
        <f aca="false">calc!$K$299</f>
        <v>298</v>
      </c>
      <c r="F299" s="84" t="n">
        <f aca="false">calc!$G$299</f>
        <v>-44.7011583952816</v>
      </c>
      <c r="G299" s="85" t="n">
        <f aca="false">calc!$I$299</f>
        <v>33.7646575626262</v>
      </c>
      <c r="H299" s="86" t="n">
        <f aca="false">IF(ABS(G299-G298)&lt;100,G299,"")</f>
        <v>33.7646575626262</v>
      </c>
    </row>
    <row r="300" customFormat="false" ht="17" hidden="false" customHeight="true" outlineLevel="0" collapsed="false">
      <c r="C300" s="21" t="n">
        <f aca="false">calc!$D$300</f>
        <v>26</v>
      </c>
      <c r="D300" s="21" t="n">
        <f aca="false">calc!$E$300</f>
        <v>10</v>
      </c>
      <c r="E300" s="21" t="n">
        <f aca="false">calc!$K$300</f>
        <v>299</v>
      </c>
      <c r="F300" s="84" t="n">
        <f aca="false">calc!$G$300</f>
        <v>-53.6133067821602</v>
      </c>
      <c r="G300" s="85" t="n">
        <f aca="false">calc!$I$300</f>
        <v>19.671498863703</v>
      </c>
      <c r="H300" s="86" t="n">
        <f aca="false">IF(ABS(G300-G299)&lt;100,G300,"")</f>
        <v>19.671498863703</v>
      </c>
    </row>
    <row r="301" customFormat="false" ht="17" hidden="false" customHeight="true" outlineLevel="0" collapsed="false">
      <c r="C301" s="21" t="n">
        <f aca="false">calc!$D$301</f>
        <v>27</v>
      </c>
      <c r="D301" s="21" t="n">
        <f aca="false">calc!$E$301</f>
        <v>10</v>
      </c>
      <c r="E301" s="21" t="n">
        <f aca="false">calc!$K$301</f>
        <v>300</v>
      </c>
      <c r="F301" s="84" t="n">
        <f aca="false">calc!$G$301</f>
        <v>-60.0795520133523</v>
      </c>
      <c r="G301" s="85" t="n">
        <f aca="false">calc!$I$301</f>
        <v>358.865529319032</v>
      </c>
      <c r="H301" s="86" t="str">
        <f aca="false">IF(ABS(G301-G300)&lt;100,G301,"")</f>
        <v/>
      </c>
    </row>
    <row r="302" customFormat="false" ht="17" hidden="false" customHeight="true" outlineLevel="0" collapsed="false">
      <c r="C302" s="21" t="n">
        <f aca="false">calc!$D$302</f>
        <v>28</v>
      </c>
      <c r="D302" s="21" t="n">
        <f aca="false">calc!$E$302</f>
        <v>10</v>
      </c>
      <c r="E302" s="21" t="n">
        <f aca="false">calc!$K$302</f>
        <v>301</v>
      </c>
      <c r="F302" s="84" t="n">
        <f aca="false">calc!$G$302</f>
        <v>-61.9770997564991</v>
      </c>
      <c r="G302" s="85" t="n">
        <f aca="false">calc!$I$302</f>
        <v>331.762409983215</v>
      </c>
      <c r="H302" s="86" t="n">
        <f aca="false">IF(ABS(G302-G301)&lt;100,G302,"")</f>
        <v>331.762409983215</v>
      </c>
    </row>
    <row r="303" customFormat="false" ht="17" hidden="false" customHeight="true" outlineLevel="0" collapsed="false">
      <c r="C303" s="21" t="n">
        <f aca="false">calc!$D$303</f>
        <v>29</v>
      </c>
      <c r="D303" s="21" t="n">
        <f aca="false">calc!$E$303</f>
        <v>10</v>
      </c>
      <c r="E303" s="21" t="n">
        <f aca="false">calc!$K$303</f>
        <v>302</v>
      </c>
      <c r="F303" s="84" t="n">
        <f aca="false">calc!$G$303</f>
        <v>-58.290146668442</v>
      </c>
      <c r="G303" s="85" t="n">
        <f aca="false">calc!$I$303</f>
        <v>306.001641003178</v>
      </c>
      <c r="H303" s="86" t="n">
        <f aca="false">IF(ABS(G303-G302)&lt;100,G303,"")</f>
        <v>306.001641003178</v>
      </c>
    </row>
    <row r="304" customFormat="false" ht="17" hidden="false" customHeight="true" outlineLevel="0" collapsed="false">
      <c r="C304" s="21" t="n">
        <f aca="false">calc!$D$304</f>
        <v>30</v>
      </c>
      <c r="D304" s="21" t="n">
        <f aca="false">calc!$E$304</f>
        <v>10</v>
      </c>
      <c r="E304" s="21" t="n">
        <f aca="false">calc!$K$304</f>
        <v>303</v>
      </c>
      <c r="F304" s="84" t="n">
        <f aca="false">calc!$G$304</f>
        <v>-50.5154277733129</v>
      </c>
      <c r="G304" s="85" t="n">
        <f aca="false">calc!$I$304</f>
        <v>287.388294944786</v>
      </c>
      <c r="H304" s="86" t="n">
        <f aca="false">IF(ABS(G304-G303)&lt;100,G304,"")</f>
        <v>287.388294944786</v>
      </c>
    </row>
    <row r="305" customFormat="false" ht="17" hidden="false" customHeight="true" outlineLevel="0" collapsed="false">
      <c r="C305" s="21" t="n">
        <f aca="false">calc!$D$305</f>
        <v>31</v>
      </c>
      <c r="D305" s="21" t="n">
        <f aca="false">calc!$E$305</f>
        <v>10</v>
      </c>
      <c r="E305" s="21" t="n">
        <f aca="false">calc!$K$305</f>
        <v>304</v>
      </c>
      <c r="F305" s="84" t="n">
        <f aca="false">calc!$G$305</f>
        <v>-40.5819975203285</v>
      </c>
      <c r="G305" s="85" t="n">
        <f aca="false">calc!$I$305</f>
        <v>274.83618145624</v>
      </c>
      <c r="H305" s="86" t="n">
        <f aca="false">IF(ABS(G305-G304)&lt;100,G305,"")</f>
        <v>274.83618145624</v>
      </c>
    </row>
    <row r="306" customFormat="false" ht="17" hidden="false" customHeight="true" outlineLevel="0" collapsed="false">
      <c r="C306" s="21" t="n">
        <f aca="false">calc!$D$306</f>
        <v>1</v>
      </c>
      <c r="D306" s="21" t="n">
        <f aca="false">calc!$E$306</f>
        <v>11</v>
      </c>
      <c r="E306" s="21" t="n">
        <f aca="false">calc!$K$306</f>
        <v>305</v>
      </c>
      <c r="F306" s="84" t="n">
        <f aca="false">calc!$G$306</f>
        <v>-29.61497278997</v>
      </c>
      <c r="G306" s="85" t="n">
        <f aca="false">calc!$I$306</f>
        <v>265.906673388211</v>
      </c>
      <c r="H306" s="86" t="n">
        <f aca="false">IF(ABS(G306-G305)&lt;100,G306,"")</f>
        <v>265.906673388211</v>
      </c>
    </row>
    <row r="307" customFormat="false" ht="17" hidden="false" customHeight="true" outlineLevel="0" collapsed="false">
      <c r="C307" s="21" t="n">
        <f aca="false">calc!$D$307</f>
        <v>2</v>
      </c>
      <c r="D307" s="21" t="n">
        <f aca="false">calc!$E$307</f>
        <v>11</v>
      </c>
      <c r="E307" s="21" t="n">
        <f aca="false">calc!$K$307</f>
        <v>306</v>
      </c>
      <c r="F307" s="84" t="n">
        <f aca="false">calc!$G$307</f>
        <v>-18.1714213719978</v>
      </c>
      <c r="G307" s="85" t="n">
        <f aca="false">calc!$I$307</f>
        <v>258.973719601828</v>
      </c>
      <c r="H307" s="86" t="n">
        <f aca="false">IF(ABS(G307-G306)&lt;100,G307,"")</f>
        <v>258.973719601828</v>
      </c>
    </row>
    <row r="308" customFormat="false" ht="17" hidden="false" customHeight="true" outlineLevel="0" collapsed="false">
      <c r="C308" s="21" t="n">
        <f aca="false">calc!$D$308</f>
        <v>3</v>
      </c>
      <c r="D308" s="21" t="n">
        <f aca="false">calc!$E$308</f>
        <v>11</v>
      </c>
      <c r="E308" s="21" t="n">
        <f aca="false">calc!$K$308</f>
        <v>307</v>
      </c>
      <c r="F308" s="84" t="n">
        <f aca="false">calc!$G$308</f>
        <v>-6.5234915684572</v>
      </c>
      <c r="G308" s="85" t="n">
        <f aca="false">calc!$I$308</f>
        <v>253.07275542266</v>
      </c>
      <c r="H308" s="86" t="n">
        <f aca="false">IF(ABS(G308-G307)&lt;100,G308,"")</f>
        <v>253.07275542266</v>
      </c>
    </row>
    <row r="309" customFormat="false" ht="17" hidden="false" customHeight="true" outlineLevel="0" collapsed="false">
      <c r="C309" s="21" t="n">
        <f aca="false">calc!$D$309</f>
        <v>4</v>
      </c>
      <c r="D309" s="21" t="n">
        <f aca="false">calc!$E$309</f>
        <v>11</v>
      </c>
      <c r="E309" s="21" t="n">
        <f aca="false">calc!$K$309</f>
        <v>308</v>
      </c>
      <c r="F309" s="84" t="n">
        <f aca="false">calc!$G$309</f>
        <v>5.39216277263832</v>
      </c>
      <c r="G309" s="85" t="n">
        <f aca="false">calc!$I$309</f>
        <v>247.572612737861</v>
      </c>
      <c r="H309" s="86" t="n">
        <f aca="false">IF(ABS(G309-G308)&lt;100,G309,"")</f>
        <v>247.572612737861</v>
      </c>
    </row>
    <row r="310" customFormat="false" ht="17" hidden="false" customHeight="true" outlineLevel="0" collapsed="false">
      <c r="C310" s="21" t="n">
        <f aca="false">calc!$D$310</f>
        <v>5</v>
      </c>
      <c r="D310" s="21" t="n">
        <f aca="false">calc!$E$310</f>
        <v>11</v>
      </c>
      <c r="E310" s="21" t="n">
        <f aca="false">calc!$K$310</f>
        <v>309</v>
      </c>
      <c r="F310" s="84" t="n">
        <f aca="false">calc!$G$310</f>
        <v>16.8647463487889</v>
      </c>
      <c r="G310" s="85" t="n">
        <f aca="false">calc!$I$310</f>
        <v>241.963351646189</v>
      </c>
      <c r="H310" s="86" t="n">
        <f aca="false">IF(ABS(G310-G309)&lt;100,G310,"")</f>
        <v>241.963351646189</v>
      </c>
    </row>
    <row r="311" customFormat="false" ht="17" hidden="false" customHeight="true" outlineLevel="0" collapsed="false">
      <c r="C311" s="21" t="n">
        <f aca="false">calc!$D$311</f>
        <v>6</v>
      </c>
      <c r="D311" s="21" t="n">
        <f aca="false">calc!$E$311</f>
        <v>11</v>
      </c>
      <c r="E311" s="21" t="n">
        <f aca="false">calc!$K$311</f>
        <v>310</v>
      </c>
      <c r="F311" s="84" t="n">
        <f aca="false">calc!$G$311</f>
        <v>28.1339374852065</v>
      </c>
      <c r="G311" s="85" t="n">
        <f aca="false">calc!$I$311</f>
        <v>235.703512122199</v>
      </c>
      <c r="H311" s="86" t="n">
        <f aca="false">IF(ABS(G311-G310)&lt;100,G311,"")</f>
        <v>235.703512122199</v>
      </c>
    </row>
    <row r="312" customFormat="false" ht="17" hidden="false" customHeight="true" outlineLevel="0" collapsed="false">
      <c r="C312" s="21" t="n">
        <f aca="false">calc!$D$312</f>
        <v>7</v>
      </c>
      <c r="D312" s="21" t="n">
        <f aca="false">calc!$E$312</f>
        <v>11</v>
      </c>
      <c r="E312" s="21" t="n">
        <f aca="false">calc!$K$312</f>
        <v>311</v>
      </c>
      <c r="F312" s="84" t="n">
        <f aca="false">calc!$G$312</f>
        <v>38.9078951330709</v>
      </c>
      <c r="G312" s="85" t="n">
        <f aca="false">calc!$I$312</f>
        <v>228.056192149932</v>
      </c>
      <c r="H312" s="86" t="n">
        <f aca="false">IF(ABS(G312-G311)&lt;100,G312,"")</f>
        <v>228.056192149932</v>
      </c>
    </row>
    <row r="313" customFormat="false" ht="17" hidden="false" customHeight="true" outlineLevel="0" collapsed="false">
      <c r="C313" s="21" t="n">
        <f aca="false">calc!$D$313</f>
        <v>8</v>
      </c>
      <c r="D313" s="21" t="n">
        <f aca="false">calc!$E$313</f>
        <v>11</v>
      </c>
      <c r="E313" s="21" t="n">
        <f aca="false">calc!$K$313</f>
        <v>312</v>
      </c>
      <c r="F313" s="84" t="n">
        <f aca="false">calc!$G$313</f>
        <v>48.8086042957279</v>
      </c>
      <c r="G313" s="85" t="n">
        <f aca="false">calc!$I$313</f>
        <v>217.852961817373</v>
      </c>
      <c r="H313" s="86" t="n">
        <f aca="false">IF(ABS(G313-G312)&lt;100,G313,"")</f>
        <v>217.852961817373</v>
      </c>
    </row>
    <row r="314" customFormat="false" ht="17" hidden="false" customHeight="true" outlineLevel="0" collapsed="false">
      <c r="C314" s="21" t="n">
        <f aca="false">calc!$D$314</f>
        <v>9</v>
      </c>
      <c r="D314" s="21" t="n">
        <f aca="false">calc!$E$314</f>
        <v>11</v>
      </c>
      <c r="E314" s="21" t="n">
        <f aca="false">calc!$K$314</f>
        <v>313</v>
      </c>
      <c r="F314" s="84" t="n">
        <f aca="false">calc!$G$314</f>
        <v>57.1581175637976</v>
      </c>
      <c r="G314" s="85" t="n">
        <f aca="false">calc!$I$314</f>
        <v>203.232111813221</v>
      </c>
      <c r="H314" s="86" t="n">
        <f aca="false">IF(ABS(G314-G313)&lt;100,G314,"")</f>
        <v>203.232111813221</v>
      </c>
    </row>
    <row r="315" customFormat="false" ht="17" hidden="false" customHeight="true" outlineLevel="0" collapsed="false">
      <c r="C315" s="21" t="n">
        <f aca="false">calc!$D$315</f>
        <v>10</v>
      </c>
      <c r="D315" s="21" t="n">
        <f aca="false">calc!$E$315</f>
        <v>11</v>
      </c>
      <c r="E315" s="21" t="n">
        <f aca="false">calc!$K$315</f>
        <v>314</v>
      </c>
      <c r="F315" s="84" t="n">
        <f aca="false">calc!$G$315</f>
        <v>62.7274675081948</v>
      </c>
      <c r="G315" s="85" t="n">
        <f aca="false">calc!$I$315</f>
        <v>182.18559412223</v>
      </c>
      <c r="H315" s="86" t="n">
        <f aca="false">IF(ABS(G315-G314)&lt;100,G315,"")</f>
        <v>182.18559412223</v>
      </c>
    </row>
    <row r="316" customFormat="false" ht="17" hidden="false" customHeight="true" outlineLevel="0" collapsed="false">
      <c r="C316" s="21" t="n">
        <f aca="false">calc!$D$316</f>
        <v>11</v>
      </c>
      <c r="D316" s="21" t="n">
        <f aca="false">calc!$E$316</f>
        <v>11</v>
      </c>
      <c r="E316" s="21" t="n">
        <f aca="false">calc!$K$316</f>
        <v>315</v>
      </c>
      <c r="F316" s="84" t="n">
        <f aca="false">calc!$G$316</f>
        <v>63.9586076543275</v>
      </c>
      <c r="G316" s="85" t="n">
        <f aca="false">calc!$I$316</f>
        <v>156.264728444051</v>
      </c>
      <c r="H316" s="86" t="n">
        <f aca="false">IF(ABS(G316-G315)&lt;100,G316,"")</f>
        <v>156.264728444051</v>
      </c>
    </row>
    <row r="317" customFormat="false" ht="17" hidden="false" customHeight="true" outlineLevel="0" collapsed="false">
      <c r="C317" s="21" t="n">
        <f aca="false">calc!$D$317</f>
        <v>12</v>
      </c>
      <c r="D317" s="21" t="n">
        <f aca="false">calc!$E$317</f>
        <v>11</v>
      </c>
      <c r="E317" s="21" t="n">
        <f aca="false">calc!$K$317</f>
        <v>316</v>
      </c>
      <c r="F317" s="84" t="n">
        <f aca="false">calc!$G$317</f>
        <v>60.5394139393046</v>
      </c>
      <c r="G317" s="85" t="n">
        <f aca="false">calc!$I$317</f>
        <v>132.729826409647</v>
      </c>
      <c r="H317" s="86" t="n">
        <f aca="false">IF(ABS(G317-G316)&lt;100,G317,"")</f>
        <v>132.729826409647</v>
      </c>
    </row>
    <row r="318" customFormat="false" ht="17" hidden="false" customHeight="true" outlineLevel="0" collapsed="false">
      <c r="C318" s="21" t="n">
        <f aca="false">calc!$D$318</f>
        <v>13</v>
      </c>
      <c r="D318" s="21" t="n">
        <f aca="false">calc!$E$318</f>
        <v>11</v>
      </c>
      <c r="E318" s="21" t="n">
        <f aca="false">calc!$K$318</f>
        <v>317</v>
      </c>
      <c r="F318" s="84" t="n">
        <f aca="false">calc!$G$318</f>
        <v>53.9193569377433</v>
      </c>
      <c r="G318" s="85" t="n">
        <f aca="false">calc!$I$318</f>
        <v>115.837157210851</v>
      </c>
      <c r="H318" s="86" t="n">
        <f aca="false">IF(ABS(G318-G317)&lt;100,G318,"")</f>
        <v>115.837157210851</v>
      </c>
    </row>
    <row r="319" customFormat="false" ht="17" hidden="false" customHeight="true" outlineLevel="0" collapsed="false">
      <c r="C319" s="21" t="n">
        <f aca="false">calc!$D$319</f>
        <v>14</v>
      </c>
      <c r="D319" s="21" t="n">
        <f aca="false">calc!$E$319</f>
        <v>11</v>
      </c>
      <c r="E319" s="21" t="n">
        <f aca="false">calc!$K$319</f>
        <v>318</v>
      </c>
      <c r="F319" s="84" t="n">
        <f aca="false">calc!$G$319</f>
        <v>45.5885787121227</v>
      </c>
      <c r="G319" s="85" t="n">
        <f aca="false">calc!$I$319</f>
        <v>104.371308836252</v>
      </c>
      <c r="H319" s="86" t="n">
        <f aca="false">IF(ABS(G319-G318)&lt;100,G319,"")</f>
        <v>104.371308836252</v>
      </c>
    </row>
    <row r="320" customFormat="false" ht="17" hidden="false" customHeight="true" outlineLevel="0" collapsed="false">
      <c r="C320" s="21" t="n">
        <f aca="false">calc!$D$320</f>
        <v>15</v>
      </c>
      <c r="D320" s="21" t="n">
        <f aca="false">calc!$E$320</f>
        <v>11</v>
      </c>
      <c r="E320" s="21" t="n">
        <f aca="false">calc!$K$320</f>
        <v>319</v>
      </c>
      <c r="F320" s="84" t="n">
        <f aca="false">calc!$G$320</f>
        <v>36.3637533966831</v>
      </c>
      <c r="G320" s="85" t="n">
        <f aca="false">calc!$I$320</f>
        <v>96.2406561224785</v>
      </c>
      <c r="H320" s="86" t="n">
        <f aca="false">IF(ABS(G320-G319)&lt;100,G320,"")</f>
        <v>96.2406561224785</v>
      </c>
    </row>
    <row r="321" customFormat="false" ht="17" hidden="false" customHeight="true" outlineLevel="0" collapsed="false">
      <c r="C321" s="21" t="n">
        <f aca="false">calc!$D$321</f>
        <v>16</v>
      </c>
      <c r="D321" s="21" t="n">
        <f aca="false">calc!$E$321</f>
        <v>11</v>
      </c>
      <c r="E321" s="21" t="n">
        <f aca="false">calc!$K$321</f>
        <v>320</v>
      </c>
      <c r="F321" s="84" t="n">
        <f aca="false">calc!$G$321</f>
        <v>26.6160977017623</v>
      </c>
      <c r="G321" s="85" t="n">
        <f aca="false">calc!$I$321</f>
        <v>90.0421725013431</v>
      </c>
      <c r="H321" s="86" t="n">
        <f aca="false">IF(ABS(G321-G320)&lt;100,G321,"")</f>
        <v>90.0421725013431</v>
      </c>
    </row>
    <row r="322" customFormat="false" ht="17" hidden="false" customHeight="true" outlineLevel="0" collapsed="false">
      <c r="C322" s="21" t="n">
        <f aca="false">calc!$D$322</f>
        <v>17</v>
      </c>
      <c r="D322" s="21" t="n">
        <f aca="false">calc!$E$322</f>
        <v>11</v>
      </c>
      <c r="E322" s="21" t="n">
        <f aca="false">calc!$K$322</f>
        <v>321</v>
      </c>
      <c r="F322" s="84" t="n">
        <f aca="false">calc!$G$322</f>
        <v>16.5066709579861</v>
      </c>
      <c r="G322" s="85" t="n">
        <f aca="false">calc!$I$322</f>
        <v>84.9366015074314</v>
      </c>
      <c r="H322" s="86" t="n">
        <f aca="false">IF(ABS(G322-G321)&lt;100,G322,"")</f>
        <v>84.9366015074314</v>
      </c>
    </row>
    <row r="323" customFormat="false" ht="17" hidden="false" customHeight="true" outlineLevel="0" collapsed="false">
      <c r="C323" s="21" t="n">
        <f aca="false">calc!$D$323</f>
        <v>18</v>
      </c>
      <c r="D323" s="21" t="n">
        <f aca="false">calc!$E$323</f>
        <v>11</v>
      </c>
      <c r="E323" s="21" t="n">
        <f aca="false">calc!$K$323</f>
        <v>322</v>
      </c>
      <c r="F323" s="84" t="n">
        <f aca="false">calc!$G$323</f>
        <v>6.14021029748287</v>
      </c>
      <c r="G323" s="85" t="n">
        <f aca="false">calc!$I$323</f>
        <v>80.3882478442984</v>
      </c>
      <c r="H323" s="86" t="n">
        <f aca="false">IF(ABS(G323-G322)&lt;100,G323,"")</f>
        <v>80.3882478442984</v>
      </c>
    </row>
    <row r="324" customFormat="false" ht="17" hidden="false" customHeight="true" outlineLevel="0" collapsed="false">
      <c r="C324" s="21" t="n">
        <f aca="false">calc!$D$324</f>
        <v>19</v>
      </c>
      <c r="D324" s="21" t="n">
        <f aca="false">calc!$E$324</f>
        <v>11</v>
      </c>
      <c r="E324" s="21" t="n">
        <f aca="false">calc!$K$324</f>
        <v>323</v>
      </c>
      <c r="F324" s="84" t="n">
        <f aca="false">calc!$G$324</f>
        <v>-4.71557367072885</v>
      </c>
      <c r="G324" s="85" t="n">
        <f aca="false">calc!$I$324</f>
        <v>75.9953614373653</v>
      </c>
      <c r="H324" s="86" t="n">
        <f aca="false">IF(ABS(G324-G323)&lt;100,G324,"")</f>
        <v>75.9953614373653</v>
      </c>
    </row>
    <row r="325" customFormat="false" ht="17" hidden="false" customHeight="true" outlineLevel="0" collapsed="false">
      <c r="C325" s="21" t="n">
        <f aca="false">calc!$D$325</f>
        <v>20</v>
      </c>
      <c r="D325" s="21" t="n">
        <f aca="false">calc!$E$325</f>
        <v>11</v>
      </c>
      <c r="E325" s="21" t="n">
        <f aca="false">calc!$K$325</f>
        <v>324</v>
      </c>
      <c r="F325" s="84" t="n">
        <f aca="false">calc!$G$325</f>
        <v>-15.8508867054927</v>
      </c>
      <c r="G325" s="85" t="n">
        <f aca="false">calc!$I$325</f>
        <v>71.3743217960624</v>
      </c>
      <c r="H325" s="86" t="n">
        <f aca="false">IF(ABS(G325-G324)&lt;100,G325,"")</f>
        <v>71.3743217960624</v>
      </c>
    </row>
    <row r="326" customFormat="false" ht="17" hidden="false" customHeight="true" outlineLevel="0" collapsed="false">
      <c r="C326" s="21" t="n">
        <f aca="false">calc!$D$326</f>
        <v>21</v>
      </c>
      <c r="D326" s="21" t="n">
        <f aca="false">calc!$E$326</f>
        <v>11</v>
      </c>
      <c r="E326" s="21" t="n">
        <f aca="false">calc!$K$326</f>
        <v>325</v>
      </c>
      <c r="F326" s="84" t="n">
        <f aca="false">calc!$G$326</f>
        <v>-27.0983642722182</v>
      </c>
      <c r="G326" s="85" t="n">
        <f aca="false">calc!$I$326</f>
        <v>66.0429703017117</v>
      </c>
      <c r="H326" s="86" t="n">
        <f aca="false">IF(ABS(G326-G325)&lt;100,G326,"")</f>
        <v>66.0429703017117</v>
      </c>
    </row>
    <row r="327" customFormat="false" ht="17" hidden="false" customHeight="true" outlineLevel="0" collapsed="false">
      <c r="C327" s="21" t="n">
        <f aca="false">calc!$D$327</f>
        <v>22</v>
      </c>
      <c r="D327" s="21" t="n">
        <f aca="false">calc!$E$327</f>
        <v>11</v>
      </c>
      <c r="E327" s="21" t="n">
        <f aca="false">calc!$K$327</f>
        <v>326</v>
      </c>
      <c r="F327" s="84" t="n">
        <f aca="false">calc!$G$327</f>
        <v>-38.4339666199103</v>
      </c>
      <c r="G327" s="85" t="n">
        <f aca="false">calc!$I$327</f>
        <v>59.2320850438795</v>
      </c>
      <c r="H327" s="86" t="n">
        <f aca="false">IF(ABS(G327-G326)&lt;100,G327,"")</f>
        <v>59.2320850438795</v>
      </c>
    </row>
    <row r="328" customFormat="false" ht="17" hidden="false" customHeight="true" outlineLevel="0" collapsed="false">
      <c r="C328" s="21" t="n">
        <f aca="false">calc!$D$328</f>
        <v>23</v>
      </c>
      <c r="D328" s="21" t="n">
        <f aca="false">calc!$E$328</f>
        <v>11</v>
      </c>
      <c r="E328" s="21" t="n">
        <f aca="false">calc!$K$328</f>
        <v>327</v>
      </c>
      <c r="F328" s="84" t="n">
        <f aca="false">calc!$G$328</f>
        <v>-49.4817069774048</v>
      </c>
      <c r="G328" s="85" t="n">
        <f aca="false">calc!$I$328</f>
        <v>49.4851841994162</v>
      </c>
      <c r="H328" s="86" t="n">
        <f aca="false">IF(ABS(G328-G327)&lt;100,G328,"")</f>
        <v>49.4851841994162</v>
      </c>
    </row>
    <row r="329" customFormat="false" ht="17" hidden="false" customHeight="true" outlineLevel="0" collapsed="false">
      <c r="C329" s="21" t="n">
        <f aca="false">calc!$D$329</f>
        <v>24</v>
      </c>
      <c r="D329" s="21" t="n">
        <f aca="false">calc!$E$329</f>
        <v>11</v>
      </c>
      <c r="E329" s="21" t="n">
        <f aca="false">calc!$K$329</f>
        <v>328</v>
      </c>
      <c r="F329" s="84" t="n">
        <f aca="false">calc!$G$329</f>
        <v>-59.3588574881116</v>
      </c>
      <c r="G329" s="85" t="n">
        <f aca="false">calc!$I$329</f>
        <v>33.8273765639591</v>
      </c>
      <c r="H329" s="86" t="n">
        <f aca="false">IF(ABS(G329-G328)&lt;100,G329,"")</f>
        <v>33.8273765639591</v>
      </c>
    </row>
    <row r="330" customFormat="false" ht="17" hidden="false" customHeight="true" outlineLevel="0" collapsed="false">
      <c r="C330" s="21" t="n">
        <f aca="false">calc!$D$330</f>
        <v>25</v>
      </c>
      <c r="D330" s="21" t="n">
        <f aca="false">calc!$E$330</f>
        <v>11</v>
      </c>
      <c r="E330" s="21" t="n">
        <f aca="false">calc!$K$330</f>
        <v>329</v>
      </c>
      <c r="F330" s="84" t="n">
        <f aca="false">calc!$G$330</f>
        <v>-65.9561677447496</v>
      </c>
      <c r="G330" s="85" t="n">
        <f aca="false">calc!$I$330</f>
        <v>7.61273912411542</v>
      </c>
      <c r="H330" s="86" t="n">
        <f aca="false">IF(ABS(G330-G329)&lt;100,G330,"")</f>
        <v>7.61273912411542</v>
      </c>
    </row>
    <row r="331" customFormat="false" ht="17" hidden="false" customHeight="true" outlineLevel="0" collapsed="false">
      <c r="C331" s="21" t="n">
        <f aca="false">calc!$D$331</f>
        <v>26</v>
      </c>
      <c r="D331" s="21" t="n">
        <f aca="false">calc!$E$331</f>
        <v>11</v>
      </c>
      <c r="E331" s="21" t="n">
        <f aca="false">calc!$K$331</f>
        <v>330</v>
      </c>
      <c r="F331" s="84" t="n">
        <f aca="false">calc!$G$331</f>
        <v>-65.9949796581952</v>
      </c>
      <c r="G331" s="85" t="n">
        <f aca="false">calc!$I$331</f>
        <v>333.573716600729</v>
      </c>
      <c r="H331" s="86" t="str">
        <f aca="false">IF(ABS(G331-G330)&lt;100,G331,"")</f>
        <v/>
      </c>
    </row>
    <row r="332" customFormat="false" ht="17" hidden="false" customHeight="true" outlineLevel="0" collapsed="false">
      <c r="C332" s="21" t="n">
        <f aca="false">calc!$D$332</f>
        <v>27</v>
      </c>
      <c r="D332" s="21" t="n">
        <f aca="false">calc!$E$332</f>
        <v>11</v>
      </c>
      <c r="E332" s="21" t="n">
        <f aca="false">calc!$K$332</f>
        <v>331</v>
      </c>
      <c r="F332" s="84" t="n">
        <f aca="false">calc!$G$332</f>
        <v>-59.3822762558105</v>
      </c>
      <c r="G332" s="85" t="n">
        <f aca="false">calc!$I$332</f>
        <v>307.110952775854</v>
      </c>
      <c r="H332" s="86" t="n">
        <f aca="false">IF(ABS(G332-G331)&lt;100,G332,"")</f>
        <v>307.110952775854</v>
      </c>
    </row>
    <row r="333" customFormat="false" ht="17" hidden="false" customHeight="true" outlineLevel="0" collapsed="false">
      <c r="C333" s="21" t="n">
        <f aca="false">calc!$D$333</f>
        <v>28</v>
      </c>
      <c r="D333" s="21" t="n">
        <f aca="false">calc!$E$333</f>
        <v>11</v>
      </c>
      <c r="E333" s="21" t="n">
        <f aca="false">calc!$K$333</f>
        <v>332</v>
      </c>
      <c r="F333" s="84" t="n">
        <f aca="false">calc!$G$333</f>
        <v>-49.330246710633</v>
      </c>
      <c r="G333" s="85" t="n">
        <f aca="false">calc!$I$333</f>
        <v>291.28944875423</v>
      </c>
      <c r="H333" s="86" t="n">
        <f aca="false">IF(ABS(G333-G332)&lt;100,G333,"")</f>
        <v>291.28944875423</v>
      </c>
    </row>
    <row r="334" customFormat="false" ht="17" hidden="false" customHeight="true" outlineLevel="0" collapsed="false">
      <c r="C334" s="21" t="n">
        <f aca="false">calc!$D$334</f>
        <v>29</v>
      </c>
      <c r="D334" s="21" t="n">
        <f aca="false">calc!$E$334</f>
        <v>11</v>
      </c>
      <c r="E334" s="21" t="n">
        <f aca="false">calc!$K$334</f>
        <v>333</v>
      </c>
      <c r="F334" s="84" t="n">
        <f aca="false">calc!$G$334</f>
        <v>-37.9491646306394</v>
      </c>
      <c r="G334" s="85" t="n">
        <f aca="false">calc!$I$334</f>
        <v>281.467363057832</v>
      </c>
      <c r="H334" s="86" t="n">
        <f aca="false">IF(ABS(G334-G333)&lt;100,G334,"")</f>
        <v>281.467363057832</v>
      </c>
    </row>
    <row r="335" customFormat="false" ht="17" hidden="false" customHeight="true" outlineLevel="0" collapsed="false">
      <c r="C335" s="21" t="n">
        <f aca="false">calc!$D$335</f>
        <v>30</v>
      </c>
      <c r="D335" s="21" t="n">
        <f aca="false">calc!$E$335</f>
        <v>11</v>
      </c>
      <c r="E335" s="21" t="n">
        <f aca="false">calc!$K$335</f>
        <v>334</v>
      </c>
      <c r="F335" s="84" t="n">
        <f aca="false">calc!$G$335</f>
        <v>-26.1175626721542</v>
      </c>
      <c r="G335" s="85" t="n">
        <f aca="false">calc!$I$335</f>
        <v>274.621834579955</v>
      </c>
      <c r="H335" s="86" t="n">
        <f aca="false">IF(ABS(G335-G334)&lt;100,G335,"")</f>
        <v>274.621834579955</v>
      </c>
    </row>
    <row r="336" customFormat="false" ht="17" hidden="false" customHeight="true" outlineLevel="0" collapsed="false">
      <c r="C336" s="21" t="n">
        <f aca="false">calc!$D$336</f>
        <v>1</v>
      </c>
      <c r="D336" s="21" t="n">
        <f aca="false">calc!$E$336</f>
        <v>12</v>
      </c>
      <c r="E336" s="21" t="n">
        <f aca="false">calc!$K$336</f>
        <v>335</v>
      </c>
      <c r="F336" s="84" t="n">
        <f aca="false">calc!$G$336</f>
        <v>-14.2151784378867</v>
      </c>
      <c r="G336" s="85" t="n">
        <f aca="false">calc!$I$336</f>
        <v>269.266688654779</v>
      </c>
      <c r="H336" s="86" t="n">
        <f aca="false">IF(ABS(G336-G335)&lt;100,G336,"")</f>
        <v>269.266688654779</v>
      </c>
    </row>
    <row r="337" customFormat="false" ht="17" hidden="false" customHeight="true" outlineLevel="0" collapsed="false">
      <c r="C337" s="21" t="n">
        <f aca="false">calc!$D$337</f>
        <v>2</v>
      </c>
      <c r="D337" s="21" t="n">
        <f aca="false">calc!$E$337</f>
        <v>12</v>
      </c>
      <c r="E337" s="21" t="n">
        <f aca="false">calc!$K$337</f>
        <v>336</v>
      </c>
      <c r="F337" s="84" t="n">
        <f aca="false">calc!$G$337</f>
        <v>-1.59678181502916</v>
      </c>
      <c r="G337" s="85" t="n">
        <f aca="false">calc!$I$337</f>
        <v>264.609086962795</v>
      </c>
      <c r="H337" s="86" t="n">
        <f aca="false">IF(ABS(G337-G336)&lt;100,G337,"")</f>
        <v>264.609086962795</v>
      </c>
    </row>
    <row r="338" customFormat="false" ht="17" hidden="false" customHeight="true" outlineLevel="0" collapsed="false">
      <c r="C338" s="21" t="n">
        <f aca="false">calc!$D$338</f>
        <v>3</v>
      </c>
      <c r="D338" s="21" t="n">
        <f aca="false">calc!$E$338</f>
        <v>12</v>
      </c>
      <c r="E338" s="21" t="n">
        <f aca="false">calc!$K$338</f>
        <v>337</v>
      </c>
      <c r="F338" s="84" t="n">
        <f aca="false">calc!$G$338</f>
        <v>9.45054051711403</v>
      </c>
      <c r="G338" s="85" t="n">
        <f aca="false">calc!$I$338</f>
        <v>260.136563833739</v>
      </c>
      <c r="H338" s="86" t="n">
        <f aca="false">IF(ABS(G338-G337)&lt;100,G338,"")</f>
        <v>260.136563833739</v>
      </c>
    </row>
    <row r="339" customFormat="false" ht="17" hidden="false" customHeight="true" outlineLevel="0" collapsed="false">
      <c r="C339" s="21" t="n">
        <f aca="false">calc!$D$339</f>
        <v>4</v>
      </c>
      <c r="D339" s="21" t="n">
        <f aca="false">calc!$E$339</f>
        <v>12</v>
      </c>
      <c r="E339" s="21" t="n">
        <f aca="false">calc!$K$339</f>
        <v>338</v>
      </c>
      <c r="F339" s="84" t="n">
        <f aca="false">calc!$G$339</f>
        <v>20.8072765271011</v>
      </c>
      <c r="G339" s="85" t="n">
        <f aca="false">calc!$I$339</f>
        <v>255.413806024339</v>
      </c>
      <c r="H339" s="86" t="n">
        <f aca="false">IF(ABS(G339-G338)&lt;100,G339,"")</f>
        <v>255.413806024339</v>
      </c>
    </row>
    <row r="340" customFormat="false" ht="17" hidden="false" customHeight="true" outlineLevel="0" collapsed="false">
      <c r="C340" s="21" t="n">
        <f aca="false">calc!$D$340</f>
        <v>5</v>
      </c>
      <c r="D340" s="21" t="n">
        <f aca="false">calc!$E$340</f>
        <v>12</v>
      </c>
      <c r="E340" s="21" t="n">
        <f aca="false">calc!$K$340</f>
        <v>339</v>
      </c>
      <c r="F340" s="84" t="n">
        <f aca="false">calc!$G$340</f>
        <v>31.852287458691</v>
      </c>
      <c r="G340" s="85" t="n">
        <f aca="false">calc!$I$340</f>
        <v>249.93945382711</v>
      </c>
      <c r="H340" s="86" t="n">
        <f aca="false">IF(ABS(G340-G339)&lt;100,G340,"")</f>
        <v>249.93945382711</v>
      </c>
    </row>
    <row r="341" customFormat="false" ht="17" hidden="false" customHeight="true" outlineLevel="0" collapsed="false">
      <c r="C341" s="21" t="n">
        <f aca="false">calc!$D$341</f>
        <v>6</v>
      </c>
      <c r="D341" s="21" t="n">
        <f aca="false">calc!$E$341</f>
        <v>12</v>
      </c>
      <c r="E341" s="21" t="n">
        <f aca="false">calc!$K$341</f>
        <v>340</v>
      </c>
      <c r="F341" s="84" t="n">
        <f aca="false">calc!$G$341</f>
        <v>42.4027670733745</v>
      </c>
      <c r="G341" s="85" t="n">
        <f aca="false">calc!$I$341</f>
        <v>242.973001081269</v>
      </c>
      <c r="H341" s="86" t="n">
        <f aca="false">IF(ABS(G341-G340)&lt;100,G341,"")</f>
        <v>242.973001081269</v>
      </c>
    </row>
    <row r="342" customFormat="false" ht="17" hidden="false" customHeight="true" outlineLevel="0" collapsed="false">
      <c r="C342" s="21" t="n">
        <f aca="false">calc!$D$342</f>
        <v>7</v>
      </c>
      <c r="D342" s="21" t="n">
        <f aca="false">calc!$E$342</f>
        <v>12</v>
      </c>
      <c r="E342" s="21" t="n">
        <f aca="false">calc!$K$342</f>
        <v>341</v>
      </c>
      <c r="F342" s="84" t="n">
        <f aca="false">calc!$G$342</f>
        <v>52.1478961786848</v>
      </c>
      <c r="G342" s="85" t="n">
        <f aca="false">calc!$I$342</f>
        <v>233.242381578141</v>
      </c>
      <c r="H342" s="86" t="n">
        <f aca="false">IF(ABS(G342-G341)&lt;100,G342,"")</f>
        <v>233.242381578141</v>
      </c>
    </row>
    <row r="343" customFormat="false" ht="17" hidden="false" customHeight="true" outlineLevel="0" collapsed="false">
      <c r="C343" s="21" t="n">
        <f aca="false">calc!$D$343</f>
        <v>8</v>
      </c>
      <c r="D343" s="21" t="n">
        <f aca="false">calc!$E$343</f>
        <v>12</v>
      </c>
      <c r="E343" s="21" t="n">
        <f aca="false">calc!$K$343</f>
        <v>342</v>
      </c>
      <c r="F343" s="84" t="n">
        <f aca="false">calc!$G$343</f>
        <v>60.4348181685752</v>
      </c>
      <c r="G343" s="85" t="n">
        <f aca="false">calc!$I$343</f>
        <v>218.514968532574</v>
      </c>
      <c r="H343" s="86" t="n">
        <f aca="false">IF(ABS(G343-G342)&lt;100,G343,"")</f>
        <v>218.514968532574</v>
      </c>
    </row>
    <row r="344" customFormat="false" ht="17" hidden="false" customHeight="true" outlineLevel="0" collapsed="false">
      <c r="C344" s="21" t="n">
        <f aca="false">calc!$D$344</f>
        <v>9</v>
      </c>
      <c r="D344" s="21" t="n">
        <f aca="false">calc!$E$344</f>
        <v>12</v>
      </c>
      <c r="E344" s="21" t="n">
        <f aca="false">calc!$K$344</f>
        <v>343</v>
      </c>
      <c r="F344" s="84" t="n">
        <f aca="false">calc!$G$344</f>
        <v>65.9128635825951</v>
      </c>
      <c r="G344" s="85" t="n">
        <f aca="false">calc!$I$344</f>
        <v>196.034745882476</v>
      </c>
      <c r="H344" s="86" t="n">
        <f aca="false">IF(ABS(G344-G343)&lt;100,G344,"")</f>
        <v>196.034745882476</v>
      </c>
    </row>
    <row r="345" customFormat="false" ht="17" hidden="false" customHeight="true" outlineLevel="0" collapsed="false">
      <c r="C345" s="21" t="n">
        <f aca="false">calc!$D$345</f>
        <v>10</v>
      </c>
      <c r="D345" s="21" t="n">
        <f aca="false">calc!$E$345</f>
        <v>12</v>
      </c>
      <c r="E345" s="21" t="n">
        <f aca="false">calc!$K$345</f>
        <v>344</v>
      </c>
      <c r="F345" s="84" t="n">
        <f aca="false">calc!$G$345</f>
        <v>66.7174342462603</v>
      </c>
      <c r="G345" s="85" t="n">
        <f aca="false">calc!$I$345</f>
        <v>167.711991285532</v>
      </c>
      <c r="H345" s="86" t="n">
        <f aca="false">IF(ABS(G345-G344)&lt;100,G345,"")</f>
        <v>167.711991285532</v>
      </c>
    </row>
    <row r="346" customFormat="false" ht="17" hidden="false" customHeight="true" outlineLevel="0" collapsed="false">
      <c r="C346" s="21" t="n">
        <f aca="false">calc!$D$346</f>
        <v>11</v>
      </c>
      <c r="D346" s="21" t="n">
        <f aca="false">calc!$E$346</f>
        <v>12</v>
      </c>
      <c r="E346" s="21" t="n">
        <f aca="false">calc!$K$346</f>
        <v>345</v>
      </c>
      <c r="F346" s="84" t="n">
        <f aca="false">calc!$G$346</f>
        <v>62.5799177198779</v>
      </c>
      <c r="G346" s="85" t="n">
        <f aca="false">calc!$I$346</f>
        <v>143.1826547272</v>
      </c>
      <c r="H346" s="86" t="n">
        <f aca="false">IF(ABS(G346-G345)&lt;100,G346,"")</f>
        <v>143.1826547272</v>
      </c>
    </row>
    <row r="347" customFormat="false" ht="17" hidden="false" customHeight="true" outlineLevel="0" collapsed="false">
      <c r="C347" s="21" t="n">
        <f aca="false">calc!$D$347</f>
        <v>12</v>
      </c>
      <c r="D347" s="21" t="n">
        <f aca="false">calc!$E$347</f>
        <v>12</v>
      </c>
      <c r="E347" s="21" t="n">
        <f aca="false">calc!$K$347</f>
        <v>346</v>
      </c>
      <c r="F347" s="84" t="n">
        <f aca="false">calc!$G$347</f>
        <v>55.3074454648743</v>
      </c>
      <c r="G347" s="85" t="n">
        <f aca="false">calc!$I$347</f>
        <v>126.737992101601</v>
      </c>
      <c r="H347" s="86" t="n">
        <f aca="false">IF(ABS(G347-G346)&lt;100,G347,"")</f>
        <v>126.737992101601</v>
      </c>
    </row>
    <row r="348" customFormat="false" ht="17" hidden="false" customHeight="true" outlineLevel="0" collapsed="false">
      <c r="C348" s="21" t="n">
        <f aca="false">calc!$D$348</f>
        <v>13</v>
      </c>
      <c r="D348" s="21" t="n">
        <f aca="false">calc!$E$348</f>
        <v>12</v>
      </c>
      <c r="E348" s="21" t="n">
        <f aca="false">calc!$K$348</f>
        <v>347</v>
      </c>
      <c r="F348" s="84" t="n">
        <f aca="false">calc!$G$348</f>
        <v>46.4787019354018</v>
      </c>
      <c r="G348" s="85" t="n">
        <f aca="false">calc!$I$348</f>
        <v>116.059558026863</v>
      </c>
      <c r="H348" s="86" t="n">
        <f aca="false">IF(ABS(G348-G347)&lt;100,G348,"")</f>
        <v>116.059558026863</v>
      </c>
    </row>
    <row r="349" customFormat="false" ht="17" hidden="false" customHeight="true" outlineLevel="0" collapsed="false">
      <c r="C349" s="21" t="n">
        <f aca="false">calc!$D$349</f>
        <v>14</v>
      </c>
      <c r="D349" s="21" t="n">
        <f aca="false">calc!$E$349</f>
        <v>12</v>
      </c>
      <c r="E349" s="21" t="n">
        <f aca="false">calc!$K$349</f>
        <v>348</v>
      </c>
      <c r="F349" s="84" t="n">
        <f aca="false">calc!$G$349</f>
        <v>36.8568793768473</v>
      </c>
      <c r="G349" s="85" t="n">
        <f aca="false">calc!$I$349</f>
        <v>108.644093891181</v>
      </c>
      <c r="H349" s="86" t="n">
        <f aca="false">IF(ABS(G349-G348)&lt;100,G349,"")</f>
        <v>108.644093891181</v>
      </c>
    </row>
    <row r="350" customFormat="false" ht="17" hidden="false" customHeight="true" outlineLevel="0" collapsed="false">
      <c r="C350" s="21" t="n">
        <f aca="false">calc!$D$350</f>
        <v>15</v>
      </c>
      <c r="D350" s="21" t="n">
        <f aca="false">calc!$E$350</f>
        <v>12</v>
      </c>
      <c r="E350" s="21" t="n">
        <f aca="false">calc!$K$350</f>
        <v>349</v>
      </c>
      <c r="F350" s="84" t="n">
        <f aca="false">calc!$G$350</f>
        <v>26.7592689965787</v>
      </c>
      <c r="G350" s="85" t="n">
        <f aca="false">calc!$I$350</f>
        <v>103.023902769132</v>
      </c>
      <c r="H350" s="86" t="n">
        <f aca="false">IF(ABS(G350-G349)&lt;100,G350,"")</f>
        <v>103.023902769132</v>
      </c>
    </row>
    <row r="351" customFormat="false" ht="17" hidden="false" customHeight="true" outlineLevel="0" collapsed="false">
      <c r="C351" s="21" t="n">
        <f aca="false">calc!$D$351</f>
        <v>16</v>
      </c>
      <c r="D351" s="21" t="n">
        <f aca="false">calc!$E$351</f>
        <v>12</v>
      </c>
      <c r="E351" s="21" t="n">
        <f aca="false">calc!$K$351</f>
        <v>350</v>
      </c>
      <c r="F351" s="84" t="n">
        <f aca="false">calc!$G$351</f>
        <v>16.31029604648</v>
      </c>
      <c r="G351" s="85" t="n">
        <f aca="false">calc!$I$351</f>
        <v>98.3716939535616</v>
      </c>
      <c r="H351" s="86" t="n">
        <f aca="false">IF(ABS(G351-G350)&lt;100,G351,"")</f>
        <v>98.3716939535616</v>
      </c>
    </row>
    <row r="352" customFormat="false" ht="17" hidden="false" customHeight="true" outlineLevel="0" collapsed="false">
      <c r="C352" s="21" t="n">
        <f aca="false">calc!$D$352</f>
        <v>17</v>
      </c>
      <c r="D352" s="21" t="n">
        <f aca="false">calc!$E$352</f>
        <v>12</v>
      </c>
      <c r="E352" s="21" t="n">
        <f aca="false">calc!$K$352</f>
        <v>351</v>
      </c>
      <c r="F352" s="84" t="n">
        <f aca="false">calc!$G$352</f>
        <v>5.5980177220203</v>
      </c>
      <c r="G352" s="85" t="n">
        <f aca="false">calc!$I$352</f>
        <v>94.16874525696</v>
      </c>
      <c r="H352" s="86" t="n">
        <f aca="false">IF(ABS(G352-G351)&lt;100,G352,"")</f>
        <v>94.16874525696</v>
      </c>
    </row>
    <row r="353" customFormat="false" ht="17" hidden="false" customHeight="true" outlineLevel="0" collapsed="false">
      <c r="C353" s="21" t="n">
        <f aca="false">calc!$D$353</f>
        <v>18</v>
      </c>
      <c r="D353" s="21" t="n">
        <f aca="false">calc!$E$353</f>
        <v>12</v>
      </c>
      <c r="E353" s="21" t="n">
        <f aca="false">calc!$K$353</f>
        <v>352</v>
      </c>
      <c r="F353" s="84" t="n">
        <f aca="false">calc!$G$353</f>
        <v>-5.73420226091057</v>
      </c>
      <c r="G353" s="85" t="n">
        <f aca="false">calc!$I$353</f>
        <v>90.0192629885575</v>
      </c>
      <c r="H353" s="86" t="n">
        <f aca="false">IF(ABS(G353-G352)&lt;100,G353,"")</f>
        <v>90.0192629885575</v>
      </c>
    </row>
    <row r="354" customFormat="false" ht="17" hidden="false" customHeight="true" outlineLevel="0" collapsed="false">
      <c r="C354" s="21" t="n">
        <f aca="false">calc!$D$354</f>
        <v>19</v>
      </c>
      <c r="D354" s="21" t="n">
        <f aca="false">calc!$E$354</f>
        <v>12</v>
      </c>
      <c r="E354" s="21" t="n">
        <f aca="false">calc!$K$354</f>
        <v>353</v>
      </c>
      <c r="F354" s="84" t="n">
        <f aca="false">calc!$G$354</f>
        <v>-17.2117943723543</v>
      </c>
      <c r="G354" s="85" t="n">
        <f aca="false">calc!$I$354</f>
        <v>85.5268606077666</v>
      </c>
      <c r="H354" s="86" t="n">
        <f aca="false">IF(ABS(G354-G353)&lt;100,G354,"")</f>
        <v>85.5268606077666</v>
      </c>
    </row>
    <row r="355" customFormat="false" ht="17" hidden="false" customHeight="true" outlineLevel="0" collapsed="false">
      <c r="C355" s="21" t="n">
        <f aca="false">calc!$D$355</f>
        <v>20</v>
      </c>
      <c r="D355" s="21" t="n">
        <f aca="false">calc!$E$355</f>
        <v>12</v>
      </c>
      <c r="E355" s="21" t="n">
        <f aca="false">calc!$K$355</f>
        <v>354</v>
      </c>
      <c r="F355" s="84" t="n">
        <f aca="false">calc!$G$355</f>
        <v>-28.9082357090878</v>
      </c>
      <c r="G355" s="85" t="n">
        <f aca="false">calc!$I$355</f>
        <v>80.161505794494</v>
      </c>
      <c r="H355" s="86" t="n">
        <f aca="false">IF(ABS(G355-G354)&lt;100,G355,"")</f>
        <v>80.161505794494</v>
      </c>
    </row>
    <row r="356" customFormat="false" ht="17" hidden="false" customHeight="true" outlineLevel="0" collapsed="false">
      <c r="C356" s="21" t="n">
        <f aca="false">calc!$D$356</f>
        <v>21</v>
      </c>
      <c r="D356" s="21" t="n">
        <f aca="false">calc!$E$356</f>
        <v>12</v>
      </c>
      <c r="E356" s="21" t="n">
        <f aca="false">calc!$K$356</f>
        <v>355</v>
      </c>
      <c r="F356" s="84" t="n">
        <f aca="false">calc!$G$356</f>
        <v>-40.6749014615635</v>
      </c>
      <c r="G356" s="85" t="n">
        <f aca="false">calc!$I$356</f>
        <v>73.023983557739</v>
      </c>
      <c r="H356" s="86" t="n">
        <f aca="false">IF(ABS(G356-G355)&lt;100,G356,"")</f>
        <v>73.023983557739</v>
      </c>
    </row>
    <row r="357" customFormat="false" ht="17" hidden="false" customHeight="true" outlineLevel="0" collapsed="false">
      <c r="C357" s="21" t="n">
        <f aca="false">calc!$D$357</f>
        <v>22</v>
      </c>
      <c r="D357" s="21" t="n">
        <f aca="false">calc!$E$357</f>
        <v>12</v>
      </c>
      <c r="E357" s="21" t="n">
        <f aca="false">calc!$K$357</f>
        <v>356</v>
      </c>
      <c r="F357" s="84" t="n">
        <f aca="false">calc!$G$357</f>
        <v>-52.0368039794866</v>
      </c>
      <c r="G357" s="85" t="n">
        <f aca="false">calc!$I$357</f>
        <v>62.311179128793</v>
      </c>
      <c r="H357" s="86" t="n">
        <f aca="false">IF(ABS(G357-G356)&lt;100,G357,"")</f>
        <v>62.311179128793</v>
      </c>
    </row>
    <row r="358" customFormat="false" ht="17" hidden="false" customHeight="true" outlineLevel="0" collapsed="false">
      <c r="C358" s="21" t="n">
        <f aca="false">calc!$D$358</f>
        <v>23</v>
      </c>
      <c r="D358" s="21" t="n">
        <f aca="false">calc!$E$358</f>
        <v>12</v>
      </c>
      <c r="E358" s="21" t="n">
        <f aca="false">calc!$K$358</f>
        <v>357</v>
      </c>
      <c r="F358" s="84" t="n">
        <f aca="false">calc!$G$358</f>
        <v>-61.836746153019</v>
      </c>
      <c r="G358" s="85" t="n">
        <f aca="false">calc!$I$358</f>
        <v>44.2123720065536</v>
      </c>
      <c r="H358" s="86" t="n">
        <f aca="false">IF(ABS(G358-G357)&lt;100,G358,"")</f>
        <v>44.2123720065536</v>
      </c>
    </row>
    <row r="359" customFormat="false" ht="17" hidden="false" customHeight="true" outlineLevel="0" collapsed="false">
      <c r="C359" s="21" t="n">
        <f aca="false">calc!$D$359</f>
        <v>24</v>
      </c>
      <c r="D359" s="21" t="n">
        <f aca="false">calc!$E$359</f>
        <v>12</v>
      </c>
      <c r="E359" s="21" t="n">
        <f aca="false">calc!$K$359</f>
        <v>358</v>
      </c>
      <c r="F359" s="84" t="n">
        <f aca="false">calc!$G$359</f>
        <v>-67.3066740171694</v>
      </c>
      <c r="G359" s="85" t="n">
        <f aca="false">calc!$I$359</f>
        <v>13.7477613559219</v>
      </c>
      <c r="H359" s="86" t="n">
        <f aca="false">IF(ABS(G359-G358)&lt;100,G359,"")</f>
        <v>13.7477613559219</v>
      </c>
    </row>
    <row r="360" customFormat="false" ht="17" hidden="false" customHeight="true" outlineLevel="0" collapsed="false">
      <c r="C360" s="21" t="n">
        <f aca="false">calc!$D$360</f>
        <v>25</v>
      </c>
      <c r="D360" s="21" t="n">
        <f aca="false">calc!$E$360</f>
        <v>12</v>
      </c>
      <c r="E360" s="21" t="n">
        <f aca="false">calc!$K$360</f>
        <v>359</v>
      </c>
      <c r="F360" s="84" t="n">
        <f aca="false">calc!$G$360</f>
        <v>-65.1311063867491</v>
      </c>
      <c r="G360" s="85" t="n">
        <f aca="false">calc!$I$360</f>
        <v>338.874248847491</v>
      </c>
      <c r="H360" s="86" t="str">
        <f aca="false">IF(ABS(G360-G359)&lt;100,G360,"")</f>
        <v/>
      </c>
    </row>
    <row r="361" customFormat="false" ht="17" hidden="false" customHeight="true" outlineLevel="0" collapsed="false">
      <c r="C361" s="21" t="n">
        <f aca="false">calc!$D$361</f>
        <v>26</v>
      </c>
      <c r="D361" s="21" t="n">
        <f aca="false">calc!$E$361</f>
        <v>12</v>
      </c>
      <c r="E361" s="21" t="n">
        <f aca="false">calc!$K$361</f>
        <v>360</v>
      </c>
      <c r="F361" s="84" t="n">
        <f aca="false">calc!$G$361</f>
        <v>-56.8374580999003</v>
      </c>
      <c r="G361" s="85" t="n">
        <f aca="false">calc!$I$361</f>
        <v>315.422080343662</v>
      </c>
      <c r="H361" s="86" t="n">
        <f aca="false">IF(ABS(G361-G360)&lt;100,G361,"")</f>
        <v>315.422080343662</v>
      </c>
    </row>
    <row r="362" customFormat="false" ht="17" hidden="false" customHeight="true" outlineLevel="0" collapsed="false">
      <c r="C362" s="21" t="n">
        <f aca="false">calc!$D$362</f>
        <v>27</v>
      </c>
      <c r="D362" s="21" t="n">
        <f aca="false">calc!$E$362</f>
        <v>12</v>
      </c>
      <c r="E362" s="21" t="n">
        <f aca="false">calc!$K$362</f>
        <v>361</v>
      </c>
      <c r="F362" s="84" t="n">
        <f aca="false">calc!$G$362</f>
        <v>-45.9434880171321</v>
      </c>
      <c r="G362" s="85" t="n">
        <f aca="false">calc!$I$362</f>
        <v>301.884399929406</v>
      </c>
      <c r="H362" s="86" t="n">
        <f aca="false">IF(ABS(G362-G361)&lt;100,G362,"")</f>
        <v>301.884399929406</v>
      </c>
    </row>
    <row r="363" customFormat="false" ht="17" hidden="false" customHeight="true" outlineLevel="0" collapsed="false">
      <c r="C363" s="21" t="n">
        <f aca="false">calc!$D$363</f>
        <v>28</v>
      </c>
      <c r="D363" s="21" t="n">
        <f aca="false">calc!$E$363</f>
        <v>12</v>
      </c>
      <c r="E363" s="21" t="n">
        <f aca="false">calc!$K$363</f>
        <v>362</v>
      </c>
      <c r="F363" s="84" t="n">
        <f aca="false">calc!$G$363</f>
        <v>-34.1980829489782</v>
      </c>
      <c r="G363" s="85" t="n">
        <f aca="false">calc!$I$363</f>
        <v>293.304588055162</v>
      </c>
      <c r="H363" s="86" t="n">
        <f aca="false">IF(ABS(G363-G362)&lt;100,G363,"")</f>
        <v>293.304588055162</v>
      </c>
    </row>
    <row r="364" customFormat="false" ht="17" hidden="false" customHeight="true" outlineLevel="0" collapsed="false">
      <c r="C364" s="21" t="n">
        <f aca="false">calc!$D$364</f>
        <v>29</v>
      </c>
      <c r="D364" s="21" t="n">
        <f aca="false">calc!$E$364</f>
        <v>12</v>
      </c>
      <c r="E364" s="21" t="n">
        <f aca="false">calc!$K$364</f>
        <v>363</v>
      </c>
      <c r="F364" s="84" t="n">
        <f aca="false">calc!$G$364</f>
        <v>-22.2937490807547</v>
      </c>
      <c r="G364" s="85" t="n">
        <f aca="false">calc!$I$364</f>
        <v>287.117751049709</v>
      </c>
      <c r="H364" s="86" t="n">
        <f aca="false">IF(ABS(G364-G363)&lt;100,G364,"")</f>
        <v>287.117751049709</v>
      </c>
    </row>
    <row r="365" customFormat="false" ht="17" hidden="false" customHeight="true" outlineLevel="0" collapsed="false">
      <c r="C365" s="21" t="n">
        <f aca="false">calc!$D$365</f>
        <v>30</v>
      </c>
      <c r="D365" s="21" t="n">
        <f aca="false">calc!$E$365</f>
        <v>12</v>
      </c>
      <c r="E365" s="21" t="n">
        <f aca="false">calc!$K$365</f>
        <v>364</v>
      </c>
      <c r="F365" s="84" t="n">
        <f aca="false">calc!$G$365</f>
        <v>-10.535080208248</v>
      </c>
      <c r="G365" s="85" t="n">
        <f aca="false">calc!$I$365</f>
        <v>282.097517485148</v>
      </c>
      <c r="H365" s="86" t="n">
        <f aca="false">IF(ABS(G365-G364)&lt;100,G365,"")</f>
        <v>282.097517485148</v>
      </c>
    </row>
    <row r="366" customFormat="false" ht="17" hidden="false" customHeight="true" outlineLevel="0" collapsed="false">
      <c r="C366" s="21" t="n">
        <f aca="false">calc!$D$366</f>
        <v>31</v>
      </c>
      <c r="D366" s="21" t="n">
        <f aca="false">calc!$E$366</f>
        <v>12</v>
      </c>
      <c r="E366" s="21" t="n">
        <f aca="false">calc!$K$366</f>
        <v>365</v>
      </c>
      <c r="F366" s="84" t="n">
        <f aca="false">calc!$G$366</f>
        <v>1.43936715907436</v>
      </c>
      <c r="G366" s="85" t="n">
        <f aca="false">calc!$I$366</f>
        <v>277.571468285795</v>
      </c>
      <c r="H366" s="86" t="n">
        <f aca="false">IF(ABS(G366-G365)&lt;100,G366,"")</f>
        <v>277.571468285795</v>
      </c>
    </row>
    <row r="367" customFormat="false" ht="17" hidden="false" customHeight="true" outlineLevel="0" collapsed="false">
      <c r="C367" s="21" t="n">
        <f aca="false">calc!$D$367</f>
        <v>1</v>
      </c>
      <c r="D367" s="21" t="n">
        <f aca="false">calc!$E$367</f>
        <v>13</v>
      </c>
      <c r="E367" s="21" t="n">
        <f aca="false">calc!$K$367</f>
        <v>366</v>
      </c>
      <c r="F367" s="84" t="n">
        <f aca="false">calc!$G$367</f>
        <v>12.3895073276908</v>
      </c>
      <c r="G367" s="85" t="n">
        <f aca="false">calc!$I$367</f>
        <v>273.079081126153</v>
      </c>
      <c r="H367" s="86" t="n">
        <f aca="false">IF(ABS(G367-G366)&lt;100,G367,"")</f>
        <v>273.079081126153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&amp;C&amp;10&amp;Kffffff&amp;A</oddHeader>
    <oddFooter>&amp;C&amp;10&amp;KffffffSeite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36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625" defaultRowHeight="17" zeroHeight="false" outlineLevelRow="0" outlineLevelCol="0"/>
  <cols>
    <col collapsed="false" customWidth="true" hidden="false" outlineLevel="0" max="1" min="1" style="22" width="8.91"/>
    <col collapsed="false" customWidth="true" hidden="false" outlineLevel="0" max="2" min="2" style="22" width="11.62"/>
    <col collapsed="false" customWidth="true" hidden="false" outlineLevel="0" max="3" min="3" style="21" width="8.68"/>
    <col collapsed="false" customWidth="true" hidden="false" outlineLevel="0" max="4" min="4" style="21" width="9.02"/>
    <col collapsed="false" customWidth="true" hidden="false" outlineLevel="0" max="5" min="5" style="21" width="8.91"/>
    <col collapsed="false" customWidth="false" hidden="false" outlineLevel="0" max="6" min="6" style="89" width="9.59"/>
    <col collapsed="false" customWidth="false" hidden="false" outlineLevel="0" max="64" min="7" style="22" width="9.59"/>
  </cols>
  <sheetData>
    <row r="1" customFormat="false" ht="17" hidden="false" customHeight="true" outlineLevel="0" collapsed="false">
      <c r="A1" s="40" t="str">
        <f aca="false">input!$C$1</f>
        <v>UT</v>
      </c>
      <c r="B1" s="40" t="str">
        <f aca="false">input!$D$1</f>
        <v>Year</v>
      </c>
      <c r="C1" s="40" t="str">
        <f aca="false">calc!$D$1</f>
        <v>Date</v>
      </c>
      <c r="D1" s="40" t="str">
        <f aca="false">calc!$E$1</f>
        <v>Month</v>
      </c>
      <c r="E1" s="40" t="str">
        <f aca="false">calc!$K$1</f>
        <v>Day</v>
      </c>
      <c r="F1" s="81" t="str">
        <f aca="false">calc!$H$1</f>
        <v>ill frac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</row>
    <row r="2" customFormat="false" ht="17" hidden="false" customHeight="true" outlineLevel="0" collapsed="false">
      <c r="A2" s="82" t="n">
        <f aca="false">input!$C$2</f>
        <v>0</v>
      </c>
      <c r="B2" s="83" t="n">
        <f aca="false">input!$D$2</f>
        <v>2022</v>
      </c>
      <c r="C2" s="21" t="n">
        <f aca="false">calc!$D$2</f>
        <v>1</v>
      </c>
      <c r="D2" s="21" t="n">
        <f aca="false">calc!$E$2</f>
        <v>1</v>
      </c>
      <c r="E2" s="41" t="n">
        <f aca="false">calc!$K$2</f>
        <v>1</v>
      </c>
      <c r="F2" s="86" t="n">
        <f aca="false">calc!$H$2</f>
        <v>4.73387890774311</v>
      </c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customFormat="false" ht="17" hidden="false" customHeight="true" outlineLevel="0" collapsed="false">
      <c r="A3" s="21"/>
      <c r="B3" s="21"/>
      <c r="C3" s="21" t="n">
        <f aca="false">calc!$D$3</f>
        <v>2</v>
      </c>
      <c r="D3" s="21" t="n">
        <f aca="false">calc!$E$3</f>
        <v>1</v>
      </c>
      <c r="E3" s="21" t="n">
        <f aca="false">calc!$K$3</f>
        <v>2</v>
      </c>
      <c r="F3" s="86" t="n">
        <f aca="false">calc!$H$3</f>
        <v>0.961176220471738</v>
      </c>
    </row>
    <row r="4" customFormat="false" ht="17" hidden="false" customHeight="true" outlineLevel="0" collapsed="false">
      <c r="A4" s="21"/>
      <c r="B4" s="9" t="str">
        <f aca="false">input!$D$3</f>
        <v>common year</v>
      </c>
      <c r="C4" s="21" t="n">
        <f aca="false">calc!$D$4</f>
        <v>3</v>
      </c>
      <c r="D4" s="21" t="n">
        <f aca="false">calc!$E$4</f>
        <v>1</v>
      </c>
      <c r="E4" s="21" t="n">
        <f aca="false">calc!$K$4</f>
        <v>3</v>
      </c>
      <c r="F4" s="86" t="n">
        <f aca="false">calc!$H$4</f>
        <v>0.179150615435353</v>
      </c>
    </row>
    <row r="5" customFormat="false" ht="17" hidden="false" customHeight="true" outlineLevel="0" collapsed="false">
      <c r="C5" s="21" t="n">
        <f aca="false">calc!$D$5</f>
        <v>4</v>
      </c>
      <c r="D5" s="21" t="n">
        <f aca="false">calc!$E$5</f>
        <v>1</v>
      </c>
      <c r="E5" s="21" t="n">
        <f aca="false">calc!$K$5</f>
        <v>4</v>
      </c>
      <c r="F5" s="86" t="n">
        <f aca="false">calc!$H$5</f>
        <v>2.38615342045263</v>
      </c>
    </row>
    <row r="6" customFormat="false" ht="17" hidden="false" customHeight="true" outlineLevel="0" collapsed="false">
      <c r="A6" s="87" t="s">
        <v>70</v>
      </c>
      <c r="C6" s="21" t="n">
        <f aca="false">calc!$D$6</f>
        <v>5</v>
      </c>
      <c r="D6" s="21" t="n">
        <f aca="false">calc!$E$6</f>
        <v>1</v>
      </c>
      <c r="E6" s="21" t="n">
        <f aca="false">calc!$K$6</f>
        <v>5</v>
      </c>
      <c r="F6" s="86" t="n">
        <f aca="false">calc!$H$6</f>
        <v>7.28037757181169</v>
      </c>
    </row>
    <row r="7" customFormat="false" ht="17" hidden="false" customHeight="true" outlineLevel="0" collapsed="false">
      <c r="A7" s="88" t="s">
        <v>71</v>
      </c>
      <c r="C7" s="21" t="n">
        <f aca="false">calc!$D$7</f>
        <v>6</v>
      </c>
      <c r="D7" s="21" t="n">
        <f aca="false">calc!$E$7</f>
        <v>1</v>
      </c>
      <c r="E7" s="21" t="n">
        <f aca="false">calc!$K$7</f>
        <v>6</v>
      </c>
      <c r="F7" s="86" t="n">
        <f aca="false">calc!$H$7</f>
        <v>14.3458873864905</v>
      </c>
    </row>
    <row r="8" customFormat="false" ht="17" hidden="false" customHeight="true" outlineLevel="0" collapsed="false">
      <c r="C8" s="21" t="n">
        <f aca="false">calc!$D$8</f>
        <v>7</v>
      </c>
      <c r="D8" s="21" t="n">
        <f aca="false">calc!$E$8</f>
        <v>1</v>
      </c>
      <c r="E8" s="21" t="n">
        <f aca="false">calc!$K$8</f>
        <v>7</v>
      </c>
      <c r="F8" s="86" t="n">
        <f aca="false">calc!$H$8</f>
        <v>22.9691557264081</v>
      </c>
    </row>
    <row r="9" customFormat="false" ht="17" hidden="false" customHeight="true" outlineLevel="0" collapsed="false">
      <c r="C9" s="21" t="n">
        <f aca="false">calc!$D$9</f>
        <v>8</v>
      </c>
      <c r="D9" s="21" t="n">
        <f aca="false">calc!$E$9</f>
        <v>1</v>
      </c>
      <c r="E9" s="21" t="n">
        <f aca="false">calc!$K$9</f>
        <v>8</v>
      </c>
      <c r="F9" s="86" t="n">
        <f aca="false">calc!$H$9</f>
        <v>32.543671135866</v>
      </c>
    </row>
    <row r="10" customFormat="false" ht="17" hidden="false" customHeight="true" outlineLevel="0" collapsed="false">
      <c r="C10" s="21" t="n">
        <f aca="false">calc!$D$10</f>
        <v>9</v>
      </c>
      <c r="D10" s="21" t="n">
        <f aca="false">calc!$E$10</f>
        <v>1</v>
      </c>
      <c r="E10" s="21" t="n">
        <f aca="false">calc!$K$10</f>
        <v>9</v>
      </c>
      <c r="F10" s="86" t="n">
        <f aca="false">calc!$H$10</f>
        <v>42.5368601584167</v>
      </c>
    </row>
    <row r="11" customFormat="false" ht="17" hidden="false" customHeight="true" outlineLevel="0" collapsed="false">
      <c r="C11" s="21" t="n">
        <f aca="false">calc!$D$11</f>
        <v>10</v>
      </c>
      <c r="D11" s="21" t="n">
        <f aca="false">calc!$E$11</f>
        <v>1</v>
      </c>
      <c r="E11" s="21" t="n">
        <f aca="false">calc!$K$11</f>
        <v>10</v>
      </c>
      <c r="F11" s="86" t="n">
        <f aca="false">calc!$H$11</f>
        <v>52.514664411741</v>
      </c>
    </row>
    <row r="12" customFormat="false" ht="17" hidden="false" customHeight="true" outlineLevel="0" collapsed="false">
      <c r="C12" s="21" t="n">
        <f aca="false">calc!$D$12</f>
        <v>11</v>
      </c>
      <c r="D12" s="21" t="n">
        <f aca="false">calc!$E$12</f>
        <v>1</v>
      </c>
      <c r="E12" s="21" t="n">
        <f aca="false">calc!$K$12</f>
        <v>11</v>
      </c>
      <c r="F12" s="86" t="n">
        <f aca="false">calc!$H$12</f>
        <v>62.1340714331858</v>
      </c>
    </row>
    <row r="13" customFormat="false" ht="17" hidden="false" customHeight="true" outlineLevel="0" collapsed="false">
      <c r="C13" s="21" t="n">
        <f aca="false">calc!$D$13</f>
        <v>12</v>
      </c>
      <c r="D13" s="21" t="n">
        <f aca="false">calc!$E$13</f>
        <v>1</v>
      </c>
      <c r="E13" s="21" t="n">
        <f aca="false">calc!$K$13</f>
        <v>12</v>
      </c>
      <c r="F13" s="86" t="n">
        <f aca="false">calc!$H$13</f>
        <v>71.1195034354641</v>
      </c>
    </row>
    <row r="14" customFormat="false" ht="17" hidden="false" customHeight="true" outlineLevel="0" collapsed="false">
      <c r="C14" s="21" t="n">
        <f aca="false">calc!$D$14</f>
        <v>13</v>
      </c>
      <c r="D14" s="21" t="n">
        <f aca="false">calc!$E$14</f>
        <v>1</v>
      </c>
      <c r="E14" s="21" t="n">
        <f aca="false">calc!$K$14</f>
        <v>13</v>
      </c>
      <c r="F14" s="86" t="n">
        <f aca="false">calc!$H$14</f>
        <v>79.2370636566988</v>
      </c>
    </row>
    <row r="15" customFormat="false" ht="17" hidden="false" customHeight="true" outlineLevel="0" collapsed="false">
      <c r="C15" s="21" t="n">
        <f aca="false">calc!$D$15</f>
        <v>14</v>
      </c>
      <c r="D15" s="21" t="n">
        <f aca="false">calc!$E$15</f>
        <v>1</v>
      </c>
      <c r="E15" s="21" t="n">
        <f aca="false">calc!$K$15</f>
        <v>14</v>
      </c>
      <c r="F15" s="86" t="n">
        <f aca="false">calc!$H$15</f>
        <v>86.2751437605051</v>
      </c>
    </row>
    <row r="16" customFormat="false" ht="17" hidden="false" customHeight="true" outlineLevel="0" collapsed="false">
      <c r="C16" s="21" t="n">
        <f aca="false">calc!$D$16</f>
        <v>15</v>
      </c>
      <c r="D16" s="21" t="n">
        <f aca="false">calc!$E$16</f>
        <v>1</v>
      </c>
      <c r="E16" s="21" t="n">
        <f aca="false">calc!$K$16</f>
        <v>15</v>
      </c>
      <c r="F16" s="86" t="n">
        <f aca="false">calc!$H$16</f>
        <v>92.0344384613499</v>
      </c>
    </row>
    <row r="17" customFormat="false" ht="17" hidden="false" customHeight="true" outlineLevel="0" collapsed="false">
      <c r="C17" s="21" t="n">
        <f aca="false">calc!$D$17</f>
        <v>16</v>
      </c>
      <c r="D17" s="21" t="n">
        <f aca="false">calc!$E$17</f>
        <v>1</v>
      </c>
      <c r="E17" s="21" t="n">
        <f aca="false">calc!$K$17</f>
        <v>16</v>
      </c>
      <c r="F17" s="86" t="n">
        <f aca="false">calc!$H$17</f>
        <v>96.3269816863784</v>
      </c>
    </row>
    <row r="18" customFormat="false" ht="17" hidden="false" customHeight="true" outlineLevel="0" collapsed="false">
      <c r="C18" s="21" t="n">
        <f aca="false">calc!$D$18</f>
        <v>17</v>
      </c>
      <c r="D18" s="21" t="n">
        <f aca="false">calc!$E$18</f>
        <v>1</v>
      </c>
      <c r="E18" s="21" t="n">
        <f aca="false">calc!$K$18</f>
        <v>17</v>
      </c>
      <c r="F18" s="86" t="n">
        <f aca="false">calc!$H$18</f>
        <v>98.982513657075</v>
      </c>
    </row>
    <row r="19" customFormat="false" ht="17" hidden="false" customHeight="true" outlineLevel="0" collapsed="false">
      <c r="C19" s="21" t="n">
        <f aca="false">calc!$D$19</f>
        <v>18</v>
      </c>
      <c r="D19" s="21" t="n">
        <f aca="false">calc!$E$19</f>
        <v>1</v>
      </c>
      <c r="E19" s="21" t="n">
        <f aca="false">calc!$K$19</f>
        <v>18</v>
      </c>
      <c r="F19" s="86" t="n">
        <f aca="false">calc!$H$19</f>
        <v>99.8602041495459</v>
      </c>
    </row>
    <row r="20" customFormat="false" ht="17" hidden="false" customHeight="true" outlineLevel="0" collapsed="false">
      <c r="C20" s="21" t="n">
        <f aca="false">calc!$D$20</f>
        <v>19</v>
      </c>
      <c r="D20" s="21" t="n">
        <f aca="false">calc!$E$20</f>
        <v>1</v>
      </c>
      <c r="E20" s="21" t="n">
        <f aca="false">calc!$K$20</f>
        <v>19</v>
      </c>
      <c r="F20" s="86" t="n">
        <f aca="false">calc!$H$20</f>
        <v>98.8633403333425</v>
      </c>
    </row>
    <row r="21" customFormat="false" ht="17" hidden="false" customHeight="true" outlineLevel="0" collapsed="false">
      <c r="C21" s="21" t="n">
        <f aca="false">calc!$D$21</f>
        <v>20</v>
      </c>
      <c r="D21" s="21" t="n">
        <f aca="false">calc!$E$21</f>
        <v>1</v>
      </c>
      <c r="E21" s="21" t="n">
        <f aca="false">calc!$K$21</f>
        <v>20</v>
      </c>
      <c r="F21" s="86" t="n">
        <f aca="false">calc!$H$21</f>
        <v>95.9538218710024</v>
      </c>
    </row>
    <row r="22" customFormat="false" ht="17" hidden="false" customHeight="true" outlineLevel="0" collapsed="false">
      <c r="C22" s="21" t="n">
        <f aca="false">calc!$D$22</f>
        <v>21</v>
      </c>
      <c r="D22" s="21" t="n">
        <f aca="false">calc!$E$22</f>
        <v>1</v>
      </c>
      <c r="E22" s="21" t="n">
        <f aca="false">calc!$K$22</f>
        <v>21</v>
      </c>
      <c r="F22" s="86" t="n">
        <f aca="false">calc!$H$22</f>
        <v>91.1630586342729</v>
      </c>
    </row>
    <row r="23" customFormat="false" ht="17" hidden="false" customHeight="true" outlineLevel="0" collapsed="false">
      <c r="C23" s="21" t="n">
        <f aca="false">calc!$D$23</f>
        <v>22</v>
      </c>
      <c r="D23" s="21" t="n">
        <f aca="false">calc!$E$23</f>
        <v>1</v>
      </c>
      <c r="E23" s="21" t="n">
        <f aca="false">calc!$K$23</f>
        <v>22</v>
      </c>
      <c r="F23" s="86" t="n">
        <f aca="false">calc!$H$23</f>
        <v>84.5972336496449</v>
      </c>
    </row>
    <row r="24" customFormat="false" ht="17" hidden="false" customHeight="true" outlineLevel="0" collapsed="false">
      <c r="C24" s="21" t="n">
        <f aca="false">calc!$D$24</f>
        <v>23</v>
      </c>
      <c r="D24" s="21" t="n">
        <f aca="false">calc!$E$24</f>
        <v>1</v>
      </c>
      <c r="E24" s="21" t="n">
        <f aca="false">calc!$K$24</f>
        <v>23</v>
      </c>
      <c r="F24" s="86" t="n">
        <f aca="false">calc!$H$24</f>
        <v>76.437960092551</v>
      </c>
    </row>
    <row r="25" customFormat="false" ht="17" hidden="false" customHeight="true" outlineLevel="0" collapsed="false">
      <c r="C25" s="21" t="n">
        <f aca="false">calc!$D$25</f>
        <v>24</v>
      </c>
      <c r="D25" s="21" t="n">
        <f aca="false">calc!$E$25</f>
        <v>1</v>
      </c>
      <c r="E25" s="21" t="n">
        <f aca="false">calc!$K$25</f>
        <v>24</v>
      </c>
      <c r="F25" s="86" t="n">
        <f aca="false">calc!$H$25</f>
        <v>66.9425696143746</v>
      </c>
    </row>
    <row r="26" customFormat="false" ht="17" hidden="false" customHeight="true" outlineLevel="0" collapsed="false">
      <c r="C26" s="21" t="n">
        <f aca="false">calc!$D$26</f>
        <v>25</v>
      </c>
      <c r="D26" s="21" t="n">
        <f aca="false">calc!$E$26</f>
        <v>1</v>
      </c>
      <c r="E26" s="21" t="n">
        <f aca="false">calc!$K$26</f>
        <v>25</v>
      </c>
      <c r="F26" s="86" t="n">
        <f aca="false">calc!$H$26</f>
        <v>56.4490088116906</v>
      </c>
    </row>
    <row r="27" customFormat="false" ht="17" hidden="false" customHeight="true" outlineLevel="0" collapsed="false">
      <c r="C27" s="21" t="n">
        <f aca="false">calc!$D$27</f>
        <v>26</v>
      </c>
      <c r="D27" s="21" t="n">
        <f aca="false">calc!$E$27</f>
        <v>1</v>
      </c>
      <c r="E27" s="21" t="n">
        <f aca="false">calc!$K$27</f>
        <v>26</v>
      </c>
      <c r="F27" s="86" t="n">
        <f aca="false">calc!$H$27</f>
        <v>45.3865267394843</v>
      </c>
    </row>
    <row r="28" customFormat="false" ht="17" hidden="false" customHeight="true" outlineLevel="0" collapsed="false">
      <c r="C28" s="21" t="n">
        <f aca="false">calc!$D$28</f>
        <v>27</v>
      </c>
      <c r="D28" s="21" t="n">
        <f aca="false">calc!$E$28</f>
        <v>1</v>
      </c>
      <c r="E28" s="21" t="n">
        <f aca="false">calc!$K$28</f>
        <v>27</v>
      </c>
      <c r="F28" s="86" t="n">
        <f aca="false">calc!$H$28</f>
        <v>34.2853601438807</v>
      </c>
    </row>
    <row r="29" customFormat="false" ht="17" hidden="false" customHeight="true" outlineLevel="0" collapsed="false">
      <c r="C29" s="21" t="n">
        <f aca="false">calc!$D$29</f>
        <v>28</v>
      </c>
      <c r="D29" s="21" t="n">
        <f aca="false">calc!$E$29</f>
        <v>1</v>
      </c>
      <c r="E29" s="21" t="n">
        <f aca="false">calc!$K$29</f>
        <v>28</v>
      </c>
      <c r="F29" s="86" t="n">
        <f aca="false">calc!$H$29</f>
        <v>23.7704234569703</v>
      </c>
    </row>
    <row r="30" customFormat="false" ht="17" hidden="false" customHeight="true" outlineLevel="0" collapsed="false">
      <c r="C30" s="21" t="n">
        <f aca="false">calc!$D$30</f>
        <v>29</v>
      </c>
      <c r="D30" s="21" t="n">
        <f aca="false">calc!$E$30</f>
        <v>1</v>
      </c>
      <c r="E30" s="21" t="n">
        <f aca="false">calc!$K$30</f>
        <v>29</v>
      </c>
      <c r="F30" s="86" t="n">
        <f aca="false">calc!$H$30</f>
        <v>14.5223839702457</v>
      </c>
    </row>
    <row r="31" customFormat="false" ht="17" hidden="false" customHeight="true" outlineLevel="0" collapsed="false">
      <c r="C31" s="21" t="n">
        <f aca="false">calc!$D$31</f>
        <v>30</v>
      </c>
      <c r="D31" s="21" t="n">
        <f aca="false">calc!$E$31</f>
        <v>1</v>
      </c>
      <c r="E31" s="21" t="n">
        <f aca="false">calc!$K$31</f>
        <v>30</v>
      </c>
      <c r="F31" s="86" t="n">
        <f aca="false">calc!$H$31</f>
        <v>7.19998656314235</v>
      </c>
    </row>
    <row r="32" customFormat="false" ht="17" hidden="false" customHeight="true" outlineLevel="0" collapsed="false">
      <c r="C32" s="21" t="n">
        <f aca="false">calc!$D$32</f>
        <v>31</v>
      </c>
      <c r="D32" s="21" t="n">
        <f aca="false">calc!$E$32</f>
        <v>1</v>
      </c>
      <c r="E32" s="21" t="n">
        <f aca="false">calc!$K$32</f>
        <v>31</v>
      </c>
      <c r="F32" s="86" t="n">
        <f aca="false">calc!$H$32</f>
        <v>2.33801297995391</v>
      </c>
    </row>
    <row r="33" customFormat="false" ht="17" hidden="false" customHeight="true" outlineLevel="0" collapsed="false">
      <c r="C33" s="21" t="n">
        <f aca="false">calc!$D$33</f>
        <v>1</v>
      </c>
      <c r="D33" s="21" t="n">
        <f aca="false">calc!$E$33</f>
        <v>2</v>
      </c>
      <c r="E33" s="21" t="n">
        <f aca="false">calc!$K$33</f>
        <v>32</v>
      </c>
      <c r="F33" s="86" t="n">
        <f aca="false">calc!$H$33</f>
        <v>0.25371628032323</v>
      </c>
    </row>
    <row r="34" customFormat="false" ht="17" hidden="false" customHeight="true" outlineLevel="0" collapsed="false">
      <c r="C34" s="21" t="n">
        <f aca="false">calc!$D$34</f>
        <v>2</v>
      </c>
      <c r="D34" s="21" t="n">
        <f aca="false">calc!$E$34</f>
        <v>2</v>
      </c>
      <c r="E34" s="21" t="n">
        <f aca="false">calc!$K$34</f>
        <v>33</v>
      </c>
      <c r="F34" s="86" t="n">
        <f aca="false">calc!$H$34</f>
        <v>0.996731048092781</v>
      </c>
    </row>
    <row r="35" customFormat="false" ht="17" hidden="false" customHeight="true" outlineLevel="0" collapsed="false">
      <c r="C35" s="21" t="n">
        <f aca="false">calc!$D$35</f>
        <v>3</v>
      </c>
      <c r="D35" s="21" t="n">
        <f aca="false">calc!$E$35</f>
        <v>2</v>
      </c>
      <c r="E35" s="21" t="n">
        <f aca="false">calc!$K$35</f>
        <v>34</v>
      </c>
      <c r="F35" s="86" t="n">
        <f aca="false">calc!$H$35</f>
        <v>4.36010289525645</v>
      </c>
    </row>
    <row r="36" customFormat="false" ht="17" hidden="false" customHeight="true" outlineLevel="0" collapsed="false">
      <c r="C36" s="21" t="n">
        <f aca="false">calc!$D$36</f>
        <v>4</v>
      </c>
      <c r="D36" s="21" t="n">
        <f aca="false">calc!$E$36</f>
        <v>2</v>
      </c>
      <c r="E36" s="21" t="n">
        <f aca="false">calc!$K$36</f>
        <v>35</v>
      </c>
      <c r="F36" s="86" t="n">
        <f aca="false">calc!$H$36</f>
        <v>9.94445212982122</v>
      </c>
    </row>
    <row r="37" customFormat="false" ht="17" hidden="false" customHeight="true" outlineLevel="0" collapsed="false">
      <c r="C37" s="21" t="n">
        <f aca="false">calc!$D$37</f>
        <v>5</v>
      </c>
      <c r="D37" s="21" t="n">
        <f aca="false">calc!$E$37</f>
        <v>2</v>
      </c>
      <c r="E37" s="21" t="n">
        <f aca="false">calc!$K$37</f>
        <v>36</v>
      </c>
      <c r="F37" s="86" t="n">
        <f aca="false">calc!$H$37</f>
        <v>17.2485849890545</v>
      </c>
    </row>
    <row r="38" customFormat="false" ht="17" hidden="false" customHeight="true" outlineLevel="0" collapsed="false">
      <c r="C38" s="21" t="n">
        <f aca="false">calc!$D$38</f>
        <v>6</v>
      </c>
      <c r="D38" s="21" t="n">
        <f aca="false">calc!$E$38</f>
        <v>2</v>
      </c>
      <c r="E38" s="21" t="n">
        <f aca="false">calc!$K$38</f>
        <v>37</v>
      </c>
      <c r="F38" s="86" t="n">
        <f aca="false">calc!$H$38</f>
        <v>25.7558057712353</v>
      </c>
    </row>
    <row r="39" customFormat="false" ht="17" hidden="false" customHeight="true" outlineLevel="0" collapsed="false">
      <c r="C39" s="21" t="n">
        <f aca="false">calc!$D$39</f>
        <v>7</v>
      </c>
      <c r="D39" s="21" t="n">
        <f aca="false">calc!$E$39</f>
        <v>2</v>
      </c>
      <c r="E39" s="21" t="n">
        <f aca="false">calc!$K$39</f>
        <v>38</v>
      </c>
      <c r="F39" s="86" t="n">
        <f aca="false">calc!$H$39</f>
        <v>34.9939803175078</v>
      </c>
    </row>
    <row r="40" customFormat="false" ht="17" hidden="false" customHeight="true" outlineLevel="0" collapsed="false">
      <c r="C40" s="21" t="n">
        <f aca="false">calc!$D$40</f>
        <v>8</v>
      </c>
      <c r="D40" s="21" t="n">
        <f aca="false">calc!$E$40</f>
        <v>2</v>
      </c>
      <c r="E40" s="21" t="n">
        <f aca="false">calc!$K$40</f>
        <v>39</v>
      </c>
      <c r="F40" s="86" t="n">
        <f aca="false">calc!$H$40</f>
        <v>44.5619931028663</v>
      </c>
    </row>
    <row r="41" customFormat="false" ht="17" hidden="false" customHeight="true" outlineLevel="0" collapsed="false">
      <c r="C41" s="21" t="n">
        <f aca="false">calc!$D$41</f>
        <v>9</v>
      </c>
      <c r="D41" s="21" t="n">
        <f aca="false">calc!$E$41</f>
        <v>2</v>
      </c>
      <c r="E41" s="21" t="n">
        <f aca="false">calc!$K$41</f>
        <v>40</v>
      </c>
      <c r="F41" s="86" t="n">
        <f aca="false">calc!$H$41</f>
        <v>54.1280330678949</v>
      </c>
    </row>
    <row r="42" customFormat="false" ht="17" hidden="false" customHeight="true" outlineLevel="0" collapsed="false">
      <c r="C42" s="21" t="n">
        <f aca="false">calc!$D$42</f>
        <v>10</v>
      </c>
      <c r="D42" s="21" t="n">
        <f aca="false">calc!$E$42</f>
        <v>2</v>
      </c>
      <c r="E42" s="21" t="n">
        <f aca="false">calc!$K$42</f>
        <v>41</v>
      </c>
      <c r="F42" s="86" t="n">
        <f aca="false">calc!$H$42</f>
        <v>63.4115655462003</v>
      </c>
    </row>
    <row r="43" customFormat="false" ht="17" hidden="false" customHeight="true" outlineLevel="0" collapsed="false">
      <c r="C43" s="21" t="n">
        <f aca="false">calc!$D$43</f>
        <v>11</v>
      </c>
      <c r="D43" s="21" t="n">
        <f aca="false">calc!$E$43</f>
        <v>2</v>
      </c>
      <c r="E43" s="21" t="n">
        <f aca="false">calc!$K$43</f>
        <v>42</v>
      </c>
      <c r="F43" s="86" t="n">
        <f aca="false">calc!$H$43</f>
        <v>72.1607175596506</v>
      </c>
    </row>
    <row r="44" customFormat="false" ht="17" hidden="false" customHeight="true" outlineLevel="0" collapsed="false">
      <c r="C44" s="21" t="n">
        <f aca="false">calc!$D$44</f>
        <v>12</v>
      </c>
      <c r="D44" s="21" t="n">
        <f aca="false">calc!$E$44</f>
        <v>2</v>
      </c>
      <c r="E44" s="21" t="n">
        <f aca="false">calc!$K$44</f>
        <v>43</v>
      </c>
      <c r="F44" s="86" t="n">
        <f aca="false">calc!$H$44</f>
        <v>80.1330046319278</v>
      </c>
    </row>
    <row r="45" customFormat="false" ht="17" hidden="false" customHeight="true" outlineLevel="0" collapsed="false">
      <c r="C45" s="21" t="n">
        <f aca="false">calc!$D$45</f>
        <v>13</v>
      </c>
      <c r="D45" s="21" t="n">
        <f aca="false">calc!$E$45</f>
        <v>2</v>
      </c>
      <c r="E45" s="21" t="n">
        <f aca="false">calc!$K$45</f>
        <v>44</v>
      </c>
      <c r="F45" s="86" t="n">
        <f aca="false">calc!$H$45</f>
        <v>87.0832302489357</v>
      </c>
    </row>
    <row r="46" customFormat="false" ht="17" hidden="false" customHeight="true" outlineLevel="0" collapsed="false">
      <c r="C46" s="21" t="n">
        <f aca="false">calc!$D$46</f>
        <v>14</v>
      </c>
      <c r="D46" s="21" t="n">
        <f aca="false">calc!$E$46</f>
        <v>2</v>
      </c>
      <c r="E46" s="21" t="n">
        <f aca="false">calc!$K$46</f>
        <v>45</v>
      </c>
      <c r="F46" s="86" t="n">
        <f aca="false">calc!$H$46</f>
        <v>92.7599393511022</v>
      </c>
    </row>
    <row r="47" customFormat="false" ht="17" hidden="false" customHeight="true" outlineLevel="0" collapsed="false">
      <c r="C47" s="21" t="n">
        <f aca="false">calc!$D$47</f>
        <v>15</v>
      </c>
      <c r="D47" s="21" t="n">
        <f aca="false">calc!$E$47</f>
        <v>2</v>
      </c>
      <c r="E47" s="21" t="n">
        <f aca="false">calc!$K$47</f>
        <v>46</v>
      </c>
      <c r="F47" s="86" t="n">
        <f aca="false">calc!$H$47</f>
        <v>96.9110162052891</v>
      </c>
    </row>
    <row r="48" customFormat="false" ht="17" hidden="false" customHeight="true" outlineLevel="0" collapsed="false">
      <c r="C48" s="21" t="n">
        <f aca="false">calc!$D$48</f>
        <v>16</v>
      </c>
      <c r="D48" s="21" t="n">
        <f aca="false">calc!$E$48</f>
        <v>2</v>
      </c>
      <c r="E48" s="21" t="n">
        <f aca="false">calc!$K$48</f>
        <v>47</v>
      </c>
      <c r="F48" s="86" t="n">
        <f aca="false">calc!$H$48</f>
        <v>99.2986226663623</v>
      </c>
    </row>
    <row r="49" customFormat="false" ht="17" hidden="false" customHeight="true" outlineLevel="0" collapsed="false">
      <c r="C49" s="21" t="n">
        <f aca="false">calc!$D$49</f>
        <v>17</v>
      </c>
      <c r="D49" s="21" t="n">
        <f aca="false">calc!$E$49</f>
        <v>2</v>
      </c>
      <c r="E49" s="21" t="n">
        <f aca="false">calc!$K$49</f>
        <v>48</v>
      </c>
      <c r="F49" s="86" t="n">
        <f aca="false">calc!$H$49</f>
        <v>99.7223829316467</v>
      </c>
    </row>
    <row r="50" customFormat="false" ht="17" hidden="false" customHeight="true" outlineLevel="0" collapsed="false">
      <c r="C50" s="21" t="n">
        <f aca="false">calc!$D$50</f>
        <v>18</v>
      </c>
      <c r="D50" s="21" t="n">
        <f aca="false">calc!$E$50</f>
        <v>2</v>
      </c>
      <c r="E50" s="21" t="n">
        <f aca="false">calc!$K$50</f>
        <v>49</v>
      </c>
      <c r="F50" s="86" t="n">
        <f aca="false">calc!$H$50</f>
        <v>98.0473157857863</v>
      </c>
    </row>
    <row r="51" customFormat="false" ht="17" hidden="false" customHeight="true" outlineLevel="0" collapsed="false">
      <c r="C51" s="21" t="n">
        <f aca="false">calc!$D$51</f>
        <v>19</v>
      </c>
      <c r="D51" s="21" t="n">
        <f aca="false">calc!$E$51</f>
        <v>2</v>
      </c>
      <c r="E51" s="21" t="n">
        <f aca="false">calc!$K$51</f>
        <v>50</v>
      </c>
      <c r="F51" s="86" t="n">
        <f aca="false">calc!$H$51</f>
        <v>94.2306450250224</v>
      </c>
    </row>
    <row r="52" customFormat="false" ht="17" hidden="false" customHeight="true" outlineLevel="0" collapsed="false">
      <c r="C52" s="21" t="n">
        <f aca="false">calc!$D$52</f>
        <v>20</v>
      </c>
      <c r="D52" s="21" t="n">
        <f aca="false">calc!$E$52</f>
        <v>2</v>
      </c>
      <c r="E52" s="21" t="n">
        <f aca="false">calc!$K$52</f>
        <v>51</v>
      </c>
      <c r="F52" s="86" t="n">
        <f aca="false">calc!$H$52</f>
        <v>88.3410647063783</v>
      </c>
    </row>
    <row r="53" customFormat="false" ht="17" hidden="false" customHeight="true" outlineLevel="0" collapsed="false">
      <c r="C53" s="21" t="n">
        <f aca="false">calc!$D$53</f>
        <v>21</v>
      </c>
      <c r="D53" s="21" t="n">
        <f aca="false">calc!$E$53</f>
        <v>2</v>
      </c>
      <c r="E53" s="21" t="n">
        <f aca="false">calc!$K$53</f>
        <v>52</v>
      </c>
      <c r="F53" s="86" t="n">
        <f aca="false">calc!$H$53</f>
        <v>80.5663540748102</v>
      </c>
    </row>
    <row r="54" customFormat="false" ht="17" hidden="false" customHeight="true" outlineLevel="0" collapsed="false">
      <c r="C54" s="21" t="n">
        <f aca="false">calc!$D$54</f>
        <v>22</v>
      </c>
      <c r="D54" s="21" t="n">
        <f aca="false">calc!$E$54</f>
        <v>2</v>
      </c>
      <c r="E54" s="21" t="n">
        <f aca="false">calc!$K$54</f>
        <v>53</v>
      </c>
      <c r="F54" s="86" t="n">
        <f aca="false">calc!$H$54</f>
        <v>71.209634665608</v>
      </c>
    </row>
    <row r="55" customFormat="false" ht="17" hidden="false" customHeight="true" outlineLevel="0" collapsed="false">
      <c r="C55" s="21" t="n">
        <f aca="false">calc!$D$55</f>
        <v>23</v>
      </c>
      <c r="D55" s="21" t="n">
        <f aca="false">calc!$E$55</f>
        <v>2</v>
      </c>
      <c r="E55" s="21" t="n">
        <f aca="false">calc!$K$55</f>
        <v>54</v>
      </c>
      <c r="F55" s="86" t="n">
        <f aca="false">calc!$H$55</f>
        <v>60.6783850343435</v>
      </c>
    </row>
    <row r="56" customFormat="false" ht="17" hidden="false" customHeight="true" outlineLevel="0" collapsed="false">
      <c r="C56" s="21" t="n">
        <f aca="false">calc!$D$56</f>
        <v>24</v>
      </c>
      <c r="D56" s="21" t="n">
        <f aca="false">calc!$E$56</f>
        <v>2</v>
      </c>
      <c r="E56" s="21" t="n">
        <f aca="false">calc!$K$56</f>
        <v>55</v>
      </c>
      <c r="F56" s="86" t="n">
        <f aca="false">calc!$H$56</f>
        <v>49.4706026150257</v>
      </c>
    </row>
    <row r="57" customFormat="false" ht="17" hidden="false" customHeight="true" outlineLevel="0" collapsed="false">
      <c r="C57" s="21" t="n">
        <f aca="false">calc!$D$57</f>
        <v>25</v>
      </c>
      <c r="D57" s="21" t="n">
        <f aca="false">calc!$E$57</f>
        <v>2</v>
      </c>
      <c r="E57" s="21" t="n">
        <f aca="false">calc!$K$57</f>
        <v>56</v>
      </c>
      <c r="F57" s="86" t="n">
        <f aca="false">calc!$H$57</f>
        <v>38.1584000180105</v>
      </c>
    </row>
    <row r="58" customFormat="false" ht="17" hidden="false" customHeight="true" outlineLevel="0" collapsed="false">
      <c r="C58" s="21" t="n">
        <f aca="false">calc!$D$58</f>
        <v>26</v>
      </c>
      <c r="D58" s="21" t="n">
        <f aca="false">calc!$E$58</f>
        <v>2</v>
      </c>
      <c r="E58" s="21" t="n">
        <f aca="false">calc!$K$58</f>
        <v>57</v>
      </c>
      <c r="F58" s="86" t="n">
        <f aca="false">calc!$H$58</f>
        <v>27.3636618671968</v>
      </c>
    </row>
    <row r="59" customFormat="false" ht="17" hidden="false" customHeight="true" outlineLevel="0" collapsed="false">
      <c r="C59" s="21" t="n">
        <f aca="false">calc!$D$59</f>
        <v>27</v>
      </c>
      <c r="D59" s="21" t="n">
        <f aca="false">calc!$E$59</f>
        <v>2</v>
      </c>
      <c r="E59" s="21" t="n">
        <f aca="false">calc!$K$59</f>
        <v>58</v>
      </c>
      <c r="F59" s="86" t="n">
        <f aca="false">calc!$H$59</f>
        <v>17.7182978097113</v>
      </c>
    </row>
    <row r="60" customFormat="false" ht="17" hidden="false" customHeight="true" outlineLevel="0" collapsed="false">
      <c r="C60" s="21" t="n">
        <f aca="false">calc!$D$60</f>
        <v>28</v>
      </c>
      <c r="D60" s="21" t="n">
        <f aca="false">calc!$E$60</f>
        <v>2</v>
      </c>
      <c r="E60" s="21" t="n">
        <f aca="false">calc!$K$60</f>
        <v>59</v>
      </c>
      <c r="F60" s="86" t="n">
        <f aca="false">calc!$H$60</f>
        <v>9.80663213645306</v>
      </c>
    </row>
    <row r="61" customFormat="false" ht="17" hidden="false" customHeight="true" outlineLevel="0" collapsed="false">
      <c r="C61" s="21" t="n">
        <f aca="false">calc!$D$61</f>
        <v>1</v>
      </c>
      <c r="D61" s="21" t="n">
        <f aca="false">calc!$E$61</f>
        <v>3</v>
      </c>
      <c r="E61" s="21" t="n">
        <f aca="false">calc!$K$61</f>
        <v>60</v>
      </c>
      <c r="F61" s="86" t="n">
        <f aca="false">calc!$H$61</f>
        <v>4.09793669331439</v>
      </c>
    </row>
    <row r="62" customFormat="false" ht="17" hidden="false" customHeight="true" outlineLevel="0" collapsed="false">
      <c r="C62" s="21" t="n">
        <f aca="false">calc!$D$62</f>
        <v>2</v>
      </c>
      <c r="D62" s="21" t="n">
        <f aca="false">calc!$E$62</f>
        <v>3</v>
      </c>
      <c r="E62" s="21" t="n">
        <f aca="false">calc!$K$62</f>
        <v>61</v>
      </c>
      <c r="F62" s="86" t="n">
        <f aca="false">calc!$H$62</f>
        <v>0.886596456273908</v>
      </c>
    </row>
    <row r="63" customFormat="false" ht="17" hidden="false" customHeight="true" outlineLevel="0" collapsed="false">
      <c r="C63" s="21" t="n">
        <f aca="false">calc!$D$63</f>
        <v>3</v>
      </c>
      <c r="D63" s="21" t="n">
        <f aca="false">calc!$E$63</f>
        <v>3</v>
      </c>
      <c r="E63" s="21" t="n">
        <f aca="false">calc!$K$63</f>
        <v>62</v>
      </c>
      <c r="F63" s="86" t="n">
        <f aca="false">calc!$H$63</f>
        <v>0.25924690668625</v>
      </c>
    </row>
    <row r="64" customFormat="false" ht="17" hidden="false" customHeight="true" outlineLevel="0" collapsed="false">
      <c r="C64" s="21" t="n">
        <f aca="false">calc!$D$64</f>
        <v>4</v>
      </c>
      <c r="D64" s="21" t="n">
        <f aca="false">calc!$E$64</f>
        <v>3</v>
      </c>
      <c r="E64" s="21" t="n">
        <f aca="false">calc!$K$64</f>
        <v>63</v>
      </c>
      <c r="F64" s="86" t="n">
        <f aca="false">calc!$H$64</f>
        <v>2.10043267931476</v>
      </c>
    </row>
    <row r="65" customFormat="false" ht="17" hidden="false" customHeight="true" outlineLevel="0" collapsed="false">
      <c r="C65" s="21" t="n">
        <f aca="false">calc!$D$65</f>
        <v>5</v>
      </c>
      <c r="D65" s="21" t="n">
        <f aca="false">calc!$E$65</f>
        <v>3</v>
      </c>
      <c r="E65" s="21" t="n">
        <f aca="false">calc!$K$65</f>
        <v>64</v>
      </c>
      <c r="F65" s="86" t="n">
        <f aca="false">calc!$H$65</f>
        <v>6.13460033528185</v>
      </c>
    </row>
    <row r="66" customFormat="false" ht="17" hidden="false" customHeight="true" outlineLevel="0" collapsed="false">
      <c r="C66" s="21" t="n">
        <f aca="false">calc!$D$66</f>
        <v>6</v>
      </c>
      <c r="D66" s="21" t="n">
        <f aca="false">calc!$E$66</f>
        <v>3</v>
      </c>
      <c r="E66" s="21" t="n">
        <f aca="false">calc!$K$66</f>
        <v>65</v>
      </c>
      <c r="F66" s="86" t="n">
        <f aca="false">calc!$H$66</f>
        <v>11.9894212066483</v>
      </c>
    </row>
    <row r="67" customFormat="false" ht="17" hidden="false" customHeight="true" outlineLevel="0" collapsed="false">
      <c r="C67" s="21" t="n">
        <f aca="false">calc!$D$67</f>
        <v>7</v>
      </c>
      <c r="D67" s="21" t="n">
        <f aca="false">calc!$E$67</f>
        <v>3</v>
      </c>
      <c r="E67" s="21" t="n">
        <f aca="false">calc!$K$67</f>
        <v>66</v>
      </c>
      <c r="F67" s="86" t="n">
        <f aca="false">calc!$H$67</f>
        <v>19.2597881204537</v>
      </c>
    </row>
    <row r="68" customFormat="false" ht="17" hidden="false" customHeight="true" outlineLevel="0" collapsed="false">
      <c r="C68" s="21" t="n">
        <f aca="false">calc!$D$68</f>
        <v>8</v>
      </c>
      <c r="D68" s="21" t="n">
        <f aca="false">calc!$E$68</f>
        <v>3</v>
      </c>
      <c r="E68" s="21" t="n">
        <f aca="false">calc!$K$68</f>
        <v>67</v>
      </c>
      <c r="F68" s="86" t="n">
        <f aca="false">calc!$H$68</f>
        <v>27.5554591564278</v>
      </c>
    </row>
    <row r="69" customFormat="false" ht="17" hidden="false" customHeight="true" outlineLevel="0" collapsed="false">
      <c r="C69" s="21" t="n">
        <f aca="false">calc!$D$69</f>
        <v>9</v>
      </c>
      <c r="D69" s="21" t="n">
        <f aca="false">calc!$E$69</f>
        <v>3</v>
      </c>
      <c r="E69" s="21" t="n">
        <f aca="false">calc!$K$69</f>
        <v>68</v>
      </c>
      <c r="F69" s="86" t="n">
        <f aca="false">calc!$H$69</f>
        <v>36.5249995389106</v>
      </c>
    </row>
    <row r="70" customFormat="false" ht="17" hidden="false" customHeight="true" outlineLevel="0" collapsed="false">
      <c r="C70" s="21" t="n">
        <f aca="false">calc!$D$70</f>
        <v>10</v>
      </c>
      <c r="D70" s="21" t="n">
        <f aca="false">calc!$E$70</f>
        <v>3</v>
      </c>
      <c r="E70" s="21" t="n">
        <f aca="false">calc!$K$70</f>
        <v>69</v>
      </c>
      <c r="F70" s="86" t="n">
        <f aca="false">calc!$H$70</f>
        <v>45.8583957542904</v>
      </c>
    </row>
    <row r="71" customFormat="false" ht="17" hidden="false" customHeight="true" outlineLevel="0" collapsed="false">
      <c r="C71" s="21" t="n">
        <f aca="false">calc!$D$71</f>
        <v>11</v>
      </c>
      <c r="D71" s="21" t="n">
        <f aca="false">calc!$E$71</f>
        <v>3</v>
      </c>
      <c r="E71" s="21" t="n">
        <f aca="false">calc!$K$71</f>
        <v>70</v>
      </c>
      <c r="F71" s="86" t="n">
        <f aca="false">calc!$H$71</f>
        <v>55.2760335675834</v>
      </c>
    </row>
    <row r="72" customFormat="false" ht="17" hidden="false" customHeight="true" outlineLevel="0" collapsed="false">
      <c r="C72" s="21" t="n">
        <f aca="false">calc!$D$72</f>
        <v>12</v>
      </c>
      <c r="D72" s="21" t="n">
        <f aca="false">calc!$E$72</f>
        <v>3</v>
      </c>
      <c r="E72" s="21" t="n">
        <f aca="false">calc!$K$72</f>
        <v>71</v>
      </c>
      <c r="F72" s="86" t="n">
        <f aca="false">calc!$H$72</f>
        <v>64.5120235162552</v>
      </c>
    </row>
    <row r="73" customFormat="false" ht="17" hidden="false" customHeight="true" outlineLevel="0" collapsed="false">
      <c r="C73" s="21" t="n">
        <f aca="false">calc!$D$73</f>
        <v>13</v>
      </c>
      <c r="D73" s="21" t="n">
        <f aca="false">calc!$E$73</f>
        <v>3</v>
      </c>
      <c r="E73" s="21" t="n">
        <f aca="false">calc!$K$73</f>
        <v>72</v>
      </c>
      <c r="F73" s="86" t="n">
        <f aca="false">calc!$H$73</f>
        <v>73.2974219949051</v>
      </c>
    </row>
    <row r="74" customFormat="false" ht="17" hidden="false" customHeight="true" outlineLevel="0" collapsed="false">
      <c r="C74" s="21" t="n">
        <f aca="false">calc!$D$74</f>
        <v>14</v>
      </c>
      <c r="D74" s="21" t="n">
        <f aca="false">calc!$E$74</f>
        <v>3</v>
      </c>
      <c r="E74" s="21" t="n">
        <f aca="false">calc!$K$74</f>
        <v>73</v>
      </c>
      <c r="F74" s="86" t="n">
        <f aca="false">calc!$H$74</f>
        <v>81.3466002626551</v>
      </c>
    </row>
    <row r="75" customFormat="false" ht="17" hidden="false" customHeight="true" outlineLevel="0" collapsed="false">
      <c r="C75" s="21" t="n">
        <f aca="false">calc!$D$75</f>
        <v>15</v>
      </c>
      <c r="D75" s="21" t="n">
        <f aca="false">calc!$E$75</f>
        <v>3</v>
      </c>
      <c r="E75" s="21" t="n">
        <f aca="false">calc!$K$75</f>
        <v>74</v>
      </c>
      <c r="F75" s="86" t="n">
        <f aca="false">calc!$H$75</f>
        <v>88.349444579379</v>
      </c>
    </row>
    <row r="76" customFormat="false" ht="17" hidden="false" customHeight="true" outlineLevel="0" collapsed="false">
      <c r="C76" s="21" t="n">
        <f aca="false">calc!$D$76</f>
        <v>16</v>
      </c>
      <c r="D76" s="21" t="n">
        <f aca="false">calc!$E$76</f>
        <v>3</v>
      </c>
      <c r="E76" s="21" t="n">
        <f aca="false">calc!$K$76</f>
        <v>75</v>
      </c>
      <c r="F76" s="86" t="n">
        <f aca="false">calc!$H$76</f>
        <v>93.9729273920998</v>
      </c>
    </row>
    <row r="77" customFormat="false" ht="17" hidden="false" customHeight="true" outlineLevel="0" collapsed="false">
      <c r="C77" s="21" t="n">
        <f aca="false">calc!$D$77</f>
        <v>17</v>
      </c>
      <c r="D77" s="21" t="n">
        <f aca="false">calc!$E$77</f>
        <v>3</v>
      </c>
      <c r="E77" s="21" t="n">
        <f aca="false">calc!$K$77</f>
        <v>76</v>
      </c>
      <c r="F77" s="86" t="n">
        <f aca="false">calc!$H$77</f>
        <v>97.8761844766939</v>
      </c>
    </row>
    <row r="78" customFormat="false" ht="17" hidden="false" customHeight="true" outlineLevel="0" collapsed="false">
      <c r="C78" s="21" t="n">
        <f aca="false">calc!$D$78</f>
        <v>18</v>
      </c>
      <c r="D78" s="21" t="n">
        <f aca="false">calc!$E$78</f>
        <v>3</v>
      </c>
      <c r="E78" s="21" t="n">
        <f aca="false">calc!$K$78</f>
        <v>77</v>
      </c>
      <c r="F78" s="86" t="n">
        <f aca="false">calc!$H$78</f>
        <v>99.7416388085732</v>
      </c>
    </row>
    <row r="79" customFormat="false" ht="17" hidden="false" customHeight="true" outlineLevel="0" collapsed="false">
      <c r="C79" s="21" t="n">
        <f aca="false">calc!$D$79</f>
        <v>19</v>
      </c>
      <c r="D79" s="21" t="n">
        <f aca="false">calc!$E$79</f>
        <v>3</v>
      </c>
      <c r="E79" s="21" t="n">
        <f aca="false">calc!$K$79</f>
        <v>78</v>
      </c>
      <c r="F79" s="86" t="n">
        <f aca="false">calc!$H$79</f>
        <v>99.3200355552018</v>
      </c>
    </row>
    <row r="80" customFormat="false" ht="17" hidden="false" customHeight="true" outlineLevel="0" collapsed="false">
      <c r="C80" s="21" t="n">
        <f aca="false">calc!$D$80</f>
        <v>20</v>
      </c>
      <c r="D80" s="21" t="n">
        <f aca="false">calc!$E$80</f>
        <v>3</v>
      </c>
      <c r="E80" s="21" t="n">
        <f aca="false">calc!$K$80</f>
        <v>79</v>
      </c>
      <c r="F80" s="86" t="n">
        <f aca="false">calc!$H$80</f>
        <v>96.480594455324</v>
      </c>
    </row>
    <row r="81" customFormat="false" ht="17" hidden="false" customHeight="true" outlineLevel="0" collapsed="false">
      <c r="C81" s="21" t="n">
        <f aca="false">calc!$D$81</f>
        <v>21</v>
      </c>
      <c r="D81" s="21" t="n">
        <f aca="false">calc!$E$81</f>
        <v>3</v>
      </c>
      <c r="E81" s="21" t="n">
        <f aca="false">calc!$K$81</f>
        <v>80</v>
      </c>
      <c r="F81" s="86" t="n">
        <f aca="false">calc!$H$81</f>
        <v>91.2521145936574</v>
      </c>
    </row>
    <row r="82" customFormat="false" ht="17" hidden="false" customHeight="true" outlineLevel="0" collapsed="false">
      <c r="C82" s="21" t="n">
        <f aca="false">calc!$D$82</f>
        <v>22</v>
      </c>
      <c r="D82" s="21" t="n">
        <f aca="false">calc!$E$82</f>
        <v>3</v>
      </c>
      <c r="E82" s="21" t="n">
        <f aca="false">calc!$K$82</f>
        <v>81</v>
      </c>
      <c r="F82" s="86" t="n">
        <f aca="false">calc!$H$82</f>
        <v>83.8409058959239</v>
      </c>
    </row>
    <row r="83" customFormat="false" ht="17" hidden="false" customHeight="true" outlineLevel="0" collapsed="false">
      <c r="C83" s="21" t="n">
        <f aca="false">calc!$D$83</f>
        <v>23</v>
      </c>
      <c r="D83" s="21" t="n">
        <f aca="false">calc!$E$83</f>
        <v>3</v>
      </c>
      <c r="E83" s="21" t="n">
        <f aca="false">calc!$K$83</f>
        <v>82</v>
      </c>
      <c r="F83" s="86" t="n">
        <f aca="false">calc!$H$83</f>
        <v>74.6187971099202</v>
      </c>
    </row>
    <row r="84" customFormat="false" ht="17" hidden="false" customHeight="true" outlineLevel="0" collapsed="false">
      <c r="C84" s="21" t="n">
        <f aca="false">calc!$D$84</f>
        <v>24</v>
      </c>
      <c r="D84" s="21" t="n">
        <f aca="false">calc!$E$84</f>
        <v>3</v>
      </c>
      <c r="E84" s="21" t="n">
        <f aca="false">calc!$K$84</f>
        <v>83</v>
      </c>
      <c r="F84" s="86" t="n">
        <f aca="false">calc!$H$84</f>
        <v>64.0860499828299</v>
      </c>
    </row>
    <row r="85" customFormat="false" ht="17" hidden="false" customHeight="true" outlineLevel="0" collapsed="false">
      <c r="C85" s="21" t="n">
        <f aca="false">calc!$D$85</f>
        <v>25</v>
      </c>
      <c r="D85" s="21" t="n">
        <f aca="false">calc!$E$85</f>
        <v>3</v>
      </c>
      <c r="E85" s="21" t="n">
        <f aca="false">calc!$K$85</f>
        <v>84</v>
      </c>
      <c r="F85" s="86" t="n">
        <f aca="false">calc!$H$85</f>
        <v>52.8226416282574</v>
      </c>
    </row>
    <row r="86" customFormat="false" ht="17" hidden="false" customHeight="true" outlineLevel="0" collapsed="false">
      <c r="C86" s="21" t="n">
        <f aca="false">calc!$D$86</f>
        <v>26</v>
      </c>
      <c r="D86" s="21" t="n">
        <f aca="false">calc!$E$86</f>
        <v>3</v>
      </c>
      <c r="E86" s="21" t="n">
        <f aca="false">calc!$K$86</f>
        <v>85</v>
      </c>
      <c r="F86" s="86" t="n">
        <f aca="false">calc!$H$86</f>
        <v>41.4414952639831</v>
      </c>
    </row>
    <row r="87" customFormat="false" ht="17" hidden="false" customHeight="true" outlineLevel="0" collapsed="false">
      <c r="C87" s="21" t="n">
        <f aca="false">calc!$D$87</f>
        <v>27</v>
      </c>
      <c r="D87" s="21" t="n">
        <f aca="false">calc!$E$87</f>
        <v>3</v>
      </c>
      <c r="E87" s="21" t="n">
        <f aca="false">calc!$K$87</f>
        <v>86</v>
      </c>
      <c r="F87" s="86" t="n">
        <f aca="false">calc!$H$87</f>
        <v>30.5498341506015</v>
      </c>
    </row>
    <row r="88" customFormat="false" ht="17" hidden="false" customHeight="true" outlineLevel="0" collapsed="false">
      <c r="C88" s="21" t="n">
        <f aca="false">calc!$D$88</f>
        <v>28</v>
      </c>
      <c r="D88" s="21" t="n">
        <f aca="false">calc!$E$88</f>
        <v>3</v>
      </c>
      <c r="E88" s="21" t="n">
        <f aca="false">calc!$K$88</f>
        <v>87</v>
      </c>
      <c r="F88" s="86" t="n">
        <f aca="false">calc!$H$88</f>
        <v>20.7163994338511</v>
      </c>
    </row>
    <row r="89" customFormat="false" ht="17" hidden="false" customHeight="true" outlineLevel="0" collapsed="false">
      <c r="C89" s="21" t="n">
        <f aca="false">calc!$D$89</f>
        <v>29</v>
      </c>
      <c r="D89" s="21" t="n">
        <f aca="false">calc!$E$89</f>
        <v>3</v>
      </c>
      <c r="E89" s="21" t="n">
        <f aca="false">calc!$K$89</f>
        <v>88</v>
      </c>
      <c r="F89" s="86" t="n">
        <f aca="false">calc!$H$89</f>
        <v>12.4390862471153</v>
      </c>
    </row>
    <row r="90" customFormat="false" ht="17" hidden="false" customHeight="true" outlineLevel="0" collapsed="false">
      <c r="C90" s="21" t="n">
        <f aca="false">calc!$D$90</f>
        <v>30</v>
      </c>
      <c r="D90" s="21" t="n">
        <f aca="false">calc!$E$90</f>
        <v>3</v>
      </c>
      <c r="E90" s="21" t="n">
        <f aca="false">calc!$K$90</f>
        <v>89</v>
      </c>
      <c r="F90" s="86" t="n">
        <f aca="false">calc!$H$90</f>
        <v>6.11110731189797</v>
      </c>
    </row>
    <row r="91" customFormat="false" ht="17" hidden="false" customHeight="true" outlineLevel="0" collapsed="false">
      <c r="C91" s="21" t="n">
        <f aca="false">calc!$D$91</f>
        <v>31</v>
      </c>
      <c r="D91" s="21" t="n">
        <f aca="false">calc!$E$91</f>
        <v>3</v>
      </c>
      <c r="E91" s="21" t="n">
        <f aca="false">calc!$K$91</f>
        <v>90</v>
      </c>
      <c r="F91" s="86" t="n">
        <f aca="false">calc!$H$91</f>
        <v>1.99061632171571</v>
      </c>
    </row>
    <row r="92" customFormat="false" ht="17" hidden="false" customHeight="true" outlineLevel="0" collapsed="false">
      <c r="C92" s="21" t="n">
        <f aca="false">calc!$D$92</f>
        <v>1</v>
      </c>
      <c r="D92" s="21" t="n">
        <f aca="false">calc!$E$92</f>
        <v>4</v>
      </c>
      <c r="E92" s="21" t="n">
        <f aca="false">calc!$K$92</f>
        <v>91</v>
      </c>
      <c r="F92" s="86" t="n">
        <f aca="false">calc!$H$92</f>
        <v>0.183344874707009</v>
      </c>
    </row>
    <row r="93" customFormat="false" ht="17" hidden="false" customHeight="true" outlineLevel="0" collapsed="false">
      <c r="C93" s="21" t="n">
        <f aca="false">calc!$D$93</f>
        <v>2</v>
      </c>
      <c r="D93" s="21" t="n">
        <f aca="false">calc!$E$93</f>
        <v>4</v>
      </c>
      <c r="E93" s="21" t="n">
        <f aca="false">calc!$K$93</f>
        <v>92</v>
      </c>
      <c r="F93" s="86" t="n">
        <f aca="false">calc!$H$93</f>
        <v>0.646369396881147</v>
      </c>
    </row>
    <row r="94" customFormat="false" ht="17" hidden="false" customHeight="true" outlineLevel="0" collapsed="false">
      <c r="C94" s="21" t="n">
        <f aca="false">calc!$D$94</f>
        <v>3</v>
      </c>
      <c r="D94" s="21" t="n">
        <f aca="false">calc!$E$94</f>
        <v>4</v>
      </c>
      <c r="E94" s="21" t="n">
        <f aca="false">calc!$K$94</f>
        <v>93</v>
      </c>
      <c r="F94" s="86" t="n">
        <f aca="false">calc!$H$94</f>
        <v>3.21388193533326</v>
      </c>
    </row>
    <row r="95" customFormat="false" ht="17" hidden="false" customHeight="true" outlineLevel="0" collapsed="false">
      <c r="C95" s="21" t="n">
        <f aca="false">calc!$D$95</f>
        <v>4</v>
      </c>
      <c r="D95" s="21" t="n">
        <f aca="false">calc!$E$95</f>
        <v>4</v>
      </c>
      <c r="E95" s="21" t="n">
        <f aca="false">calc!$K$95</f>
        <v>94</v>
      </c>
      <c r="F95" s="86" t="n">
        <f aca="false">calc!$H$95</f>
        <v>7.6371495454452</v>
      </c>
    </row>
    <row r="96" customFormat="false" ht="17" hidden="false" customHeight="true" outlineLevel="0" collapsed="false">
      <c r="C96" s="21" t="n">
        <f aca="false">calc!$D$96</f>
        <v>5</v>
      </c>
      <c r="D96" s="21" t="n">
        <f aca="false">calc!$E$96</f>
        <v>4</v>
      </c>
      <c r="E96" s="21" t="n">
        <f aca="false">calc!$K$96</f>
        <v>95</v>
      </c>
      <c r="F96" s="86" t="n">
        <f aca="false">calc!$H$96</f>
        <v>13.6261159330702</v>
      </c>
    </row>
    <row r="97" customFormat="false" ht="17" hidden="false" customHeight="true" outlineLevel="0" collapsed="false">
      <c r="C97" s="21" t="n">
        <f aca="false">calc!$D$97</f>
        <v>6</v>
      </c>
      <c r="D97" s="21" t="n">
        <f aca="false">calc!$E$97</f>
        <v>4</v>
      </c>
      <c r="E97" s="21" t="n">
        <f aca="false">calc!$K$97</f>
        <v>96</v>
      </c>
      <c r="F97" s="86" t="n">
        <f aca="false">calc!$H$97</f>
        <v>20.8817246314723</v>
      </c>
    </row>
    <row r="98" customFormat="false" ht="17" hidden="false" customHeight="true" outlineLevel="0" collapsed="false">
      <c r="C98" s="21" t="n">
        <f aca="false">calc!$D$98</f>
        <v>7</v>
      </c>
      <c r="D98" s="21" t="n">
        <f aca="false">calc!$E$98</f>
        <v>4</v>
      </c>
      <c r="E98" s="21" t="n">
        <f aca="false">calc!$K$98</f>
        <v>97</v>
      </c>
      <c r="F98" s="86" t="n">
        <f aca="false">calc!$H$98</f>
        <v>29.1139670722024</v>
      </c>
    </row>
    <row r="99" customFormat="false" ht="17" hidden="false" customHeight="true" outlineLevel="0" collapsed="false">
      <c r="C99" s="21" t="n">
        <f aca="false">calc!$D$99</f>
        <v>8</v>
      </c>
      <c r="D99" s="21" t="n">
        <f aca="false">calc!$E$99</f>
        <v>4</v>
      </c>
      <c r="E99" s="21" t="n">
        <f aca="false">calc!$K$99</f>
        <v>98</v>
      </c>
      <c r="F99" s="86" t="n">
        <f aca="false">calc!$H$99</f>
        <v>38.0466222700371</v>
      </c>
    </row>
    <row r="100" customFormat="false" ht="17" hidden="false" customHeight="true" outlineLevel="0" collapsed="false">
      <c r="C100" s="21" t="n">
        <f aca="false">calc!$D$100</f>
        <v>9</v>
      </c>
      <c r="D100" s="21" t="n">
        <f aca="false">calc!$E$100</f>
        <v>4</v>
      </c>
      <c r="E100" s="21" t="n">
        <f aca="false">calc!$K$100</f>
        <v>99</v>
      </c>
      <c r="F100" s="86" t="n">
        <f aca="false">calc!$H$100</f>
        <v>47.4126092053953</v>
      </c>
    </row>
    <row r="101" customFormat="false" ht="17" hidden="false" customHeight="true" outlineLevel="0" collapsed="false">
      <c r="C101" s="21" t="n">
        <f aca="false">calc!$D$101</f>
        <v>10</v>
      </c>
      <c r="D101" s="21" t="n">
        <f aca="false">calc!$E$101</f>
        <v>4</v>
      </c>
      <c r="E101" s="21" t="n">
        <f aca="false">calc!$K$101</f>
        <v>100</v>
      </c>
      <c r="F101" s="86" t="n">
        <f aca="false">calc!$H$101</f>
        <v>56.9436214434404</v>
      </c>
    </row>
    <row r="102" customFormat="false" ht="17" hidden="false" customHeight="true" outlineLevel="0" collapsed="false">
      <c r="C102" s="21" t="n">
        <f aca="false">calc!$D$102</f>
        <v>11</v>
      </c>
      <c r="D102" s="21" t="n">
        <f aca="false">calc!$E$102</f>
        <v>4</v>
      </c>
      <c r="E102" s="21" t="n">
        <f aca="false">calc!$K$102</f>
        <v>101</v>
      </c>
      <c r="F102" s="86" t="n">
        <f aca="false">calc!$H$102</f>
        <v>66.3562168700346</v>
      </c>
    </row>
    <row r="103" customFormat="false" ht="17" hidden="false" customHeight="true" outlineLevel="0" collapsed="false">
      <c r="C103" s="21" t="n">
        <f aca="false">calc!$D$103</f>
        <v>12</v>
      </c>
      <c r="D103" s="21" t="n">
        <f aca="false">calc!$E$103</f>
        <v>4</v>
      </c>
      <c r="E103" s="21" t="n">
        <f aca="false">calc!$K$103</f>
        <v>102</v>
      </c>
      <c r="F103" s="86" t="n">
        <f aca="false">calc!$H$103</f>
        <v>75.3361280409217</v>
      </c>
    </row>
    <row r="104" customFormat="false" ht="17" hidden="false" customHeight="true" outlineLevel="0" collapsed="false">
      <c r="C104" s="21" t="n">
        <f aca="false">calc!$D$104</f>
        <v>13</v>
      </c>
      <c r="D104" s="21" t="n">
        <f aca="false">calc!$E$104</f>
        <v>4</v>
      </c>
      <c r="E104" s="21" t="n">
        <f aca="false">calc!$K$104</f>
        <v>103</v>
      </c>
      <c r="F104" s="86" t="n">
        <f aca="false">calc!$H$104</f>
        <v>83.5244044332795</v>
      </c>
    </row>
    <row r="105" customFormat="false" ht="17" hidden="false" customHeight="true" outlineLevel="0" collapsed="false">
      <c r="C105" s="21" t="n">
        <f aca="false">calc!$D$105</f>
        <v>14</v>
      </c>
      <c r="D105" s="21" t="n">
        <f aca="false">calc!$E$105</f>
        <v>4</v>
      </c>
      <c r="E105" s="21" t="n">
        <f aca="false">calc!$K$105</f>
        <v>104</v>
      </c>
      <c r="F105" s="86" t="n">
        <f aca="false">calc!$H$105</f>
        <v>90.5124027620064</v>
      </c>
    </row>
    <row r="106" customFormat="false" ht="17" hidden="false" customHeight="true" outlineLevel="0" collapsed="false">
      <c r="C106" s="21" t="n">
        <f aca="false">calc!$D$106</f>
        <v>15</v>
      </c>
      <c r="D106" s="21" t="n">
        <f aca="false">calc!$E$106</f>
        <v>4</v>
      </c>
      <c r="E106" s="21" t="n">
        <f aca="false">calc!$K$106</f>
        <v>105</v>
      </c>
      <c r="F106" s="86" t="n">
        <f aca="false">calc!$H$106</f>
        <v>95.8552132772849</v>
      </c>
    </row>
    <row r="107" customFormat="false" ht="17" hidden="false" customHeight="true" outlineLevel="0" collapsed="false">
      <c r="C107" s="21" t="n">
        <f aca="false">calc!$D$107</f>
        <v>16</v>
      </c>
      <c r="D107" s="21" t="n">
        <f aca="false">calc!$E$107</f>
        <v>4</v>
      </c>
      <c r="E107" s="21" t="n">
        <f aca="false">calc!$K$107</f>
        <v>106</v>
      </c>
      <c r="F107" s="86" t="n">
        <f aca="false">calc!$H$107</f>
        <v>99.1115943908007</v>
      </c>
    </row>
    <row r="108" customFormat="false" ht="17" hidden="false" customHeight="true" outlineLevel="0" collapsed="false">
      <c r="C108" s="21" t="n">
        <f aca="false">calc!$D$108</f>
        <v>17</v>
      </c>
      <c r="D108" s="21" t="n">
        <f aca="false">calc!$E$108</f>
        <v>4</v>
      </c>
      <c r="E108" s="21" t="n">
        <f aca="false">calc!$K$108</f>
        <v>107</v>
      </c>
      <c r="F108" s="86" t="n">
        <f aca="false">calc!$H$108</f>
        <v>99.9104251592793</v>
      </c>
    </row>
    <row r="109" customFormat="false" ht="17" hidden="false" customHeight="true" outlineLevel="0" collapsed="false">
      <c r="C109" s="21" t="n">
        <f aca="false">calc!$D$109</f>
        <v>18</v>
      </c>
      <c r="D109" s="21" t="n">
        <f aca="false">calc!$E$109</f>
        <v>4</v>
      </c>
      <c r="E109" s="21" t="n">
        <f aca="false">calc!$K$109</f>
        <v>108</v>
      </c>
      <c r="F109" s="86" t="n">
        <f aca="false">calc!$H$109</f>
        <v>98.0300568342521</v>
      </c>
    </row>
    <row r="110" customFormat="false" ht="17" hidden="false" customHeight="true" outlineLevel="0" collapsed="false">
      <c r="C110" s="21" t="n">
        <f aca="false">calc!$D$110</f>
        <v>19</v>
      </c>
      <c r="D110" s="21" t="n">
        <f aca="false">calc!$E$110</f>
        <v>4</v>
      </c>
      <c r="E110" s="21" t="n">
        <f aca="false">calc!$K$110</f>
        <v>109</v>
      </c>
      <c r="F110" s="86" t="n">
        <f aca="false">calc!$H$110</f>
        <v>93.4643793471288</v>
      </c>
    </row>
    <row r="111" customFormat="false" ht="17" hidden="false" customHeight="true" outlineLevel="0" collapsed="false">
      <c r="C111" s="21" t="n">
        <f aca="false">calc!$D$111</f>
        <v>20</v>
      </c>
      <c r="D111" s="21" t="n">
        <f aca="false">calc!$E$111</f>
        <v>4</v>
      </c>
      <c r="E111" s="21" t="n">
        <f aca="false">calc!$K$111</f>
        <v>110</v>
      </c>
      <c r="F111" s="86" t="n">
        <f aca="false">calc!$H$111</f>
        <v>86.4480574474979</v>
      </c>
    </row>
    <row r="112" customFormat="false" ht="17" hidden="false" customHeight="true" outlineLevel="0" collapsed="false">
      <c r="C112" s="21" t="n">
        <f aca="false">calc!$D$112</f>
        <v>21</v>
      </c>
      <c r="D112" s="21" t="n">
        <f aca="false">calc!$E$112</f>
        <v>4</v>
      </c>
      <c r="E112" s="21" t="n">
        <f aca="false">calc!$K$112</f>
        <v>111</v>
      </c>
      <c r="F112" s="86" t="n">
        <f aca="false">calc!$H$112</f>
        <v>77.4284560456175</v>
      </c>
    </row>
    <row r="113" customFormat="false" ht="17" hidden="false" customHeight="true" outlineLevel="0" collapsed="false">
      <c r="C113" s="21" t="n">
        <f aca="false">calc!$D$113</f>
        <v>22</v>
      </c>
      <c r="D113" s="21" t="n">
        <f aca="false">calc!$E$113</f>
        <v>4</v>
      </c>
      <c r="E113" s="21" t="n">
        <f aca="false">calc!$K$113</f>
        <v>112</v>
      </c>
      <c r="F113" s="86" t="n">
        <f aca="false">calc!$H$113</f>
        <v>66.9957619027258</v>
      </c>
    </row>
    <row r="114" customFormat="false" ht="17" hidden="false" customHeight="true" outlineLevel="0" collapsed="false">
      <c r="C114" s="21" t="n">
        <f aca="false">calc!$D$114</f>
        <v>23</v>
      </c>
      <c r="D114" s="21" t="n">
        <f aca="false">calc!$E$114</f>
        <v>4</v>
      </c>
      <c r="E114" s="21" t="n">
        <f aca="false">calc!$K$114</f>
        <v>113</v>
      </c>
      <c r="F114" s="86" t="n">
        <f aca="false">calc!$H$114</f>
        <v>55.799506379687</v>
      </c>
    </row>
    <row r="115" customFormat="false" ht="17" hidden="false" customHeight="true" outlineLevel="0" collapsed="false">
      <c r="C115" s="21" t="n">
        <f aca="false">calc!$D$115</f>
        <v>24</v>
      </c>
      <c r="D115" s="21" t="n">
        <f aca="false">calc!$E$115</f>
        <v>4</v>
      </c>
      <c r="E115" s="21" t="n">
        <f aca="false">calc!$K$115</f>
        <v>114</v>
      </c>
      <c r="F115" s="86" t="n">
        <f aca="false">calc!$H$115</f>
        <v>44.4786184463153</v>
      </c>
    </row>
    <row r="116" customFormat="false" ht="17" hidden="false" customHeight="true" outlineLevel="0" collapsed="false">
      <c r="C116" s="21" t="n">
        <f aca="false">calc!$D$116</f>
        <v>25</v>
      </c>
      <c r="D116" s="21" t="n">
        <f aca="false">calc!$E$116</f>
        <v>4</v>
      </c>
      <c r="E116" s="21" t="n">
        <f aca="false">calc!$K$116</f>
        <v>115</v>
      </c>
      <c r="F116" s="86" t="n">
        <f aca="false">calc!$H$116</f>
        <v>33.6173446687807</v>
      </c>
    </row>
    <row r="117" customFormat="false" ht="17" hidden="false" customHeight="true" outlineLevel="0" collapsed="false">
      <c r="C117" s="21" t="n">
        <f aca="false">calc!$D$117</f>
        <v>26</v>
      </c>
      <c r="D117" s="21" t="n">
        <f aca="false">calc!$E$117</f>
        <v>4</v>
      </c>
      <c r="E117" s="21" t="n">
        <f aca="false">calc!$K$117</f>
        <v>116</v>
      </c>
      <c r="F117" s="86" t="n">
        <f aca="false">calc!$H$117</f>
        <v>23.7234819693595</v>
      </c>
    </row>
    <row r="118" customFormat="false" ht="17" hidden="false" customHeight="true" outlineLevel="0" collapsed="false">
      <c r="C118" s="21" t="n">
        <f aca="false">calc!$D$118</f>
        <v>27</v>
      </c>
      <c r="D118" s="21" t="n">
        <f aca="false">calc!$E$118</f>
        <v>4</v>
      </c>
      <c r="E118" s="21" t="n">
        <f aca="false">calc!$K$118</f>
        <v>117</v>
      </c>
      <c r="F118" s="86" t="n">
        <f aca="false">calc!$H$118</f>
        <v>15.2178787522335</v>
      </c>
    </row>
    <row r="119" customFormat="false" ht="17" hidden="false" customHeight="true" outlineLevel="0" collapsed="false">
      <c r="C119" s="21" t="n">
        <f aca="false">calc!$D$119</f>
        <v>28</v>
      </c>
      <c r="D119" s="21" t="n">
        <f aca="false">calc!$E$119</f>
        <v>4</v>
      </c>
      <c r="E119" s="21" t="n">
        <f aca="false">calc!$K$119</f>
        <v>118</v>
      </c>
      <c r="F119" s="86" t="n">
        <f aca="false">calc!$H$119</f>
        <v>8.4262225877886</v>
      </c>
    </row>
    <row r="120" customFormat="false" ht="17" hidden="false" customHeight="true" outlineLevel="0" collapsed="false">
      <c r="C120" s="21" t="n">
        <f aca="false">calc!$D$120</f>
        <v>29</v>
      </c>
      <c r="D120" s="21" t="n">
        <f aca="false">calc!$E$120</f>
        <v>4</v>
      </c>
      <c r="E120" s="21" t="n">
        <f aca="false">calc!$K$120</f>
        <v>119</v>
      </c>
      <c r="F120" s="86" t="n">
        <f aca="false">calc!$H$120</f>
        <v>3.57101117298979</v>
      </c>
    </row>
    <row r="121" customFormat="false" ht="17" hidden="false" customHeight="true" outlineLevel="0" collapsed="false">
      <c r="C121" s="21" t="n">
        <f aca="false">calc!$D$121</f>
        <v>30</v>
      </c>
      <c r="D121" s="21" t="n">
        <f aca="false">calc!$E$121</f>
        <v>4</v>
      </c>
      <c r="E121" s="21" t="n">
        <f aca="false">calc!$K$121</f>
        <v>120</v>
      </c>
      <c r="F121" s="86" t="n">
        <f aca="false">calc!$H$121</f>
        <v>0.767408509814499</v>
      </c>
    </row>
    <row r="122" customFormat="false" ht="17" hidden="false" customHeight="true" outlineLevel="0" collapsed="false">
      <c r="C122" s="21" t="n">
        <f aca="false">calc!$D$122</f>
        <v>1</v>
      </c>
      <c r="D122" s="21" t="n">
        <f aca="false">calc!$E$122</f>
        <v>5</v>
      </c>
      <c r="E122" s="21" t="n">
        <f aca="false">calc!$K$122</f>
        <v>121</v>
      </c>
      <c r="F122" s="86" t="n">
        <f aca="false">calc!$H$122</f>
        <v>0.0278287218067053</v>
      </c>
    </row>
    <row r="123" customFormat="false" ht="17" hidden="false" customHeight="true" outlineLevel="0" collapsed="false">
      <c r="C123" s="21" t="n">
        <f aca="false">calc!$D$123</f>
        <v>2</v>
      </c>
      <c r="D123" s="21" t="n">
        <f aca="false">calc!$E$123</f>
        <v>5</v>
      </c>
      <c r="E123" s="21" t="n">
        <f aca="false">calc!$K$123</f>
        <v>122</v>
      </c>
      <c r="F123" s="86" t="n">
        <f aca="false">calc!$H$123</f>
        <v>1.27670403689056</v>
      </c>
    </row>
    <row r="124" customFormat="false" ht="17" hidden="false" customHeight="true" outlineLevel="0" collapsed="false">
      <c r="C124" s="21" t="n">
        <f aca="false">calc!$D$124</f>
        <v>3</v>
      </c>
      <c r="D124" s="21" t="n">
        <f aca="false">calc!$E$124</f>
        <v>5</v>
      </c>
      <c r="E124" s="21" t="n">
        <f aca="false">calc!$K$124</f>
        <v>123</v>
      </c>
      <c r="F124" s="86" t="n">
        <f aca="false">calc!$H$124</f>
        <v>4.3720966116356</v>
      </c>
    </row>
    <row r="125" customFormat="false" ht="17" hidden="false" customHeight="true" outlineLevel="0" collapsed="false">
      <c r="C125" s="21" t="n">
        <f aca="false">calc!$D$125</f>
        <v>4</v>
      </c>
      <c r="D125" s="21" t="n">
        <f aca="false">calc!$E$125</f>
        <v>5</v>
      </c>
      <c r="E125" s="21" t="n">
        <f aca="false">calc!$K$125</f>
        <v>124</v>
      </c>
      <c r="F125" s="86" t="n">
        <f aca="false">calc!$H$125</f>
        <v>9.12814181699419</v>
      </c>
    </row>
    <row r="126" customFormat="false" ht="17" hidden="false" customHeight="true" outlineLevel="0" collapsed="false">
      <c r="C126" s="21" t="n">
        <f aca="false">calc!$D$126</f>
        <v>5</v>
      </c>
      <c r="D126" s="21" t="n">
        <f aca="false">calc!$E$126</f>
        <v>5</v>
      </c>
      <c r="E126" s="21" t="n">
        <f aca="false">calc!$K$126</f>
        <v>125</v>
      </c>
      <c r="F126" s="86" t="n">
        <f aca="false">calc!$H$126</f>
        <v>15.3331428349275</v>
      </c>
    </row>
    <row r="127" customFormat="false" ht="17" hidden="false" customHeight="true" outlineLevel="0" collapsed="false">
      <c r="C127" s="21" t="n">
        <f aca="false">calc!$D$127</f>
        <v>6</v>
      </c>
      <c r="D127" s="21" t="n">
        <f aca="false">calc!$E$127</f>
        <v>5</v>
      </c>
      <c r="E127" s="21" t="n">
        <f aca="false">calc!$K$127</f>
        <v>126</v>
      </c>
      <c r="F127" s="86" t="n">
        <f aca="false">calc!$H$127</f>
        <v>22.7611017476067</v>
      </c>
    </row>
    <row r="128" customFormat="false" ht="17" hidden="false" customHeight="true" outlineLevel="0" collapsed="false">
      <c r="C128" s="21" t="n">
        <f aca="false">calc!$D$128</f>
        <v>7</v>
      </c>
      <c r="D128" s="21" t="n">
        <f aca="false">calc!$E$128</f>
        <v>5</v>
      </c>
      <c r="E128" s="21" t="n">
        <f aca="false">calc!$K$128</f>
        <v>127</v>
      </c>
      <c r="F128" s="86" t="n">
        <f aca="false">calc!$H$128</f>
        <v>31.1770242229386</v>
      </c>
    </row>
    <row r="129" customFormat="false" ht="17" hidden="false" customHeight="true" outlineLevel="0" collapsed="false">
      <c r="C129" s="21" t="n">
        <f aca="false">calc!$D$129</f>
        <v>8</v>
      </c>
      <c r="D129" s="21" t="n">
        <f aca="false">calc!$E$129</f>
        <v>5</v>
      </c>
      <c r="E129" s="21" t="n">
        <f aca="false">calc!$K$129</f>
        <v>128</v>
      </c>
      <c r="F129" s="86" t="n">
        <f aca="false">calc!$H$129</f>
        <v>40.33687039968</v>
      </c>
    </row>
    <row r="130" customFormat="false" ht="17" hidden="false" customHeight="true" outlineLevel="0" collapsed="false">
      <c r="C130" s="21" t="n">
        <f aca="false">calc!$D$130</f>
        <v>9</v>
      </c>
      <c r="D130" s="21" t="n">
        <f aca="false">calc!$E$130</f>
        <v>5</v>
      </c>
      <c r="E130" s="21" t="n">
        <f aca="false">calc!$K$130</f>
        <v>129</v>
      </c>
      <c r="F130" s="86" t="n">
        <f aca="false">calc!$H$130</f>
        <v>49.9819101357276</v>
      </c>
    </row>
    <row r="131" customFormat="false" ht="17" hidden="false" customHeight="true" outlineLevel="0" collapsed="false">
      <c r="C131" s="21" t="n">
        <f aca="false">calc!$D$131</f>
        <v>10</v>
      </c>
      <c r="D131" s="21" t="n">
        <f aca="false">calc!$E$131</f>
        <v>5</v>
      </c>
      <c r="E131" s="21" t="n">
        <f aca="false">calc!$K$131</f>
        <v>130</v>
      </c>
      <c r="F131" s="86" t="n">
        <f aca="false">calc!$H$131</f>
        <v>59.8263397262635</v>
      </c>
    </row>
    <row r="132" customFormat="false" ht="17" hidden="false" customHeight="true" outlineLevel="0" collapsed="false">
      <c r="C132" s="21" t="n">
        <f aca="false">calc!$D$132</f>
        <v>11</v>
      </c>
      <c r="D132" s="21" t="n">
        <f aca="false">calc!$E$132</f>
        <v>5</v>
      </c>
      <c r="E132" s="21" t="n">
        <f aca="false">calc!$K$132</f>
        <v>131</v>
      </c>
      <c r="F132" s="86" t="n">
        <f aca="false">calc!$H$132</f>
        <v>69.5383547753959</v>
      </c>
    </row>
    <row r="133" customFormat="false" ht="17" hidden="false" customHeight="true" outlineLevel="0" collapsed="false">
      <c r="C133" s="21" t="n">
        <f aca="false">calc!$D$133</f>
        <v>12</v>
      </c>
      <c r="D133" s="21" t="n">
        <f aca="false">calc!$E$133</f>
        <v>5</v>
      </c>
      <c r="E133" s="21" t="n">
        <f aca="false">calc!$K$133</f>
        <v>132</v>
      </c>
      <c r="F133" s="86" t="n">
        <f aca="false">calc!$H$133</f>
        <v>78.719309330853</v>
      </c>
    </row>
    <row r="134" customFormat="false" ht="17" hidden="false" customHeight="true" outlineLevel="0" collapsed="false">
      <c r="C134" s="21" t="n">
        <f aca="false">calc!$D$134</f>
        <v>13</v>
      </c>
      <c r="D134" s="21" t="n">
        <f aca="false">calc!$E$134</f>
        <v>5</v>
      </c>
      <c r="E134" s="21" t="n">
        <f aca="false">calc!$K$134</f>
        <v>133</v>
      </c>
      <c r="F134" s="86" t="n">
        <f aca="false">calc!$H$134</f>
        <v>86.8919622948807</v>
      </c>
    </row>
    <row r="135" customFormat="false" ht="17" hidden="false" customHeight="true" outlineLevel="0" collapsed="false">
      <c r="C135" s="21" t="n">
        <f aca="false">calc!$D$135</f>
        <v>14</v>
      </c>
      <c r="D135" s="21" t="n">
        <f aca="false">calc!$E$135</f>
        <v>5</v>
      </c>
      <c r="E135" s="21" t="n">
        <f aca="false">calc!$K$135</f>
        <v>134</v>
      </c>
      <c r="F135" s="86" t="n">
        <f aca="false">calc!$H$135</f>
        <v>93.5135944928862</v>
      </c>
    </row>
    <row r="136" customFormat="false" ht="17" hidden="false" customHeight="true" outlineLevel="0" collapsed="false">
      <c r="C136" s="21" t="n">
        <f aca="false">calc!$D$136</f>
        <v>15</v>
      </c>
      <c r="D136" s="21" t="n">
        <f aca="false">calc!$E$136</f>
        <v>5</v>
      </c>
      <c r="E136" s="21" t="n">
        <f aca="false">calc!$K$136</f>
        <v>135</v>
      </c>
      <c r="F136" s="86" t="n">
        <f aca="false">calc!$H$136</f>
        <v>98.0276507829221</v>
      </c>
    </row>
    <row r="137" customFormat="false" ht="17" hidden="false" customHeight="true" outlineLevel="0" collapsed="false">
      <c r="C137" s="21" t="n">
        <f aca="false">calc!$D$137</f>
        <v>16</v>
      </c>
      <c r="D137" s="21" t="n">
        <f aca="false">calc!$E$137</f>
        <v>5</v>
      </c>
      <c r="E137" s="21" t="n">
        <f aca="false">calc!$K$137</f>
        <v>136</v>
      </c>
      <c r="F137" s="86" t="n">
        <f aca="false">calc!$H$137</f>
        <v>99.9542177441431</v>
      </c>
    </row>
    <row r="138" customFormat="false" ht="17" hidden="false" customHeight="true" outlineLevel="0" collapsed="false">
      <c r="C138" s="21" t="n">
        <f aca="false">calc!$D$138</f>
        <v>17</v>
      </c>
      <c r="D138" s="21" t="n">
        <f aca="false">calc!$E$138</f>
        <v>5</v>
      </c>
      <c r="E138" s="21" t="n">
        <f aca="false">calc!$K$138</f>
        <v>137</v>
      </c>
      <c r="F138" s="86" t="n">
        <f aca="false">calc!$H$138</f>
        <v>98.9974144042551</v>
      </c>
    </row>
    <row r="139" customFormat="false" ht="17" hidden="false" customHeight="true" outlineLevel="0" collapsed="false">
      <c r="C139" s="21" t="n">
        <f aca="false">calc!$D$139</f>
        <v>18</v>
      </c>
      <c r="D139" s="21" t="n">
        <f aca="false">calc!$E$139</f>
        <v>5</v>
      </c>
      <c r="E139" s="21" t="n">
        <f aca="false">calc!$K$139</f>
        <v>138</v>
      </c>
      <c r="F139" s="86" t="n">
        <f aca="false">calc!$H$139</f>
        <v>95.129474441212</v>
      </c>
    </row>
    <row r="140" customFormat="false" ht="17" hidden="false" customHeight="true" outlineLevel="0" collapsed="false">
      <c r="C140" s="21" t="n">
        <f aca="false">calc!$D$140</f>
        <v>19</v>
      </c>
      <c r="D140" s="21" t="n">
        <f aca="false">calc!$E$140</f>
        <v>5</v>
      </c>
      <c r="E140" s="21" t="n">
        <f aca="false">calc!$K$140</f>
        <v>139</v>
      </c>
      <c r="F140" s="86" t="n">
        <f aca="false">calc!$H$140</f>
        <v>88.6136590390489</v>
      </c>
    </row>
    <row r="141" customFormat="false" ht="17" hidden="false" customHeight="true" outlineLevel="0" collapsed="false">
      <c r="C141" s="21" t="n">
        <f aca="false">calc!$D$141</f>
        <v>20</v>
      </c>
      <c r="D141" s="21" t="n">
        <f aca="false">calc!$E$141</f>
        <v>5</v>
      </c>
      <c r="E141" s="21" t="n">
        <f aca="false">calc!$K$141</f>
        <v>140</v>
      </c>
      <c r="F141" s="86" t="n">
        <f aca="false">calc!$H$141</f>
        <v>79.9550771311392</v>
      </c>
    </row>
    <row r="142" customFormat="false" ht="17" hidden="false" customHeight="true" outlineLevel="0" collapsed="false">
      <c r="C142" s="21" t="n">
        <f aca="false">calc!$D$142</f>
        <v>21</v>
      </c>
      <c r="D142" s="21" t="n">
        <f aca="false">calc!$E$142</f>
        <v>5</v>
      </c>
      <c r="E142" s="21" t="n">
        <f aca="false">calc!$K$142</f>
        <v>141</v>
      </c>
      <c r="F142" s="86" t="n">
        <f aca="false">calc!$H$142</f>
        <v>69.8026529826636</v>
      </c>
    </row>
    <row r="143" customFormat="false" ht="17" hidden="false" customHeight="true" outlineLevel="0" collapsed="false">
      <c r="C143" s="21" t="n">
        <f aca="false">calc!$D$143</f>
        <v>22</v>
      </c>
      <c r="D143" s="21" t="n">
        <f aca="false">calc!$E$143</f>
        <v>5</v>
      </c>
      <c r="E143" s="21" t="n">
        <f aca="false">calc!$K$143</f>
        <v>142</v>
      </c>
      <c r="F143" s="86" t="n">
        <f aca="false">calc!$H$143</f>
        <v>58.8429180334293</v>
      </c>
    </row>
    <row r="144" customFormat="false" ht="17" hidden="false" customHeight="true" outlineLevel="0" collapsed="false">
      <c r="C144" s="21" t="n">
        <f aca="false">calc!$D$144</f>
        <v>23</v>
      </c>
      <c r="D144" s="21" t="n">
        <f aca="false">calc!$E$144</f>
        <v>5</v>
      </c>
      <c r="E144" s="21" t="n">
        <f aca="false">calc!$K$144</f>
        <v>143</v>
      </c>
      <c r="F144" s="86" t="n">
        <f aca="false">calc!$H$144</f>
        <v>47.7188863352265</v>
      </c>
    </row>
    <row r="145" customFormat="false" ht="17" hidden="false" customHeight="true" outlineLevel="0" collapsed="false">
      <c r="C145" s="21" t="n">
        <f aca="false">calc!$D$145</f>
        <v>24</v>
      </c>
      <c r="D145" s="21" t="n">
        <f aca="false">calc!$E$145</f>
        <v>5</v>
      </c>
      <c r="E145" s="21" t="n">
        <f aca="false">calc!$K$145</f>
        <v>144</v>
      </c>
      <c r="F145" s="86" t="n">
        <f aca="false">calc!$H$145</f>
        <v>36.9863555566176</v>
      </c>
    </row>
    <row r="146" customFormat="false" ht="17" hidden="false" customHeight="true" outlineLevel="0" collapsed="false">
      <c r="C146" s="21" t="n">
        <f aca="false">calc!$D$146</f>
        <v>25</v>
      </c>
      <c r="D146" s="21" t="n">
        <f aca="false">calc!$E$146</f>
        <v>5</v>
      </c>
      <c r="E146" s="21" t="n">
        <f aca="false">calc!$K$146</f>
        <v>145</v>
      </c>
      <c r="F146" s="86" t="n">
        <f aca="false">calc!$H$146</f>
        <v>27.1015524555083</v>
      </c>
    </row>
    <row r="147" customFormat="false" ht="17" hidden="false" customHeight="true" outlineLevel="0" collapsed="false">
      <c r="C147" s="21" t="n">
        <f aca="false">calc!$D$147</f>
        <v>26</v>
      </c>
      <c r="D147" s="21" t="n">
        <f aca="false">calc!$E$147</f>
        <v>5</v>
      </c>
      <c r="E147" s="21" t="n">
        <f aca="false">calc!$K$147</f>
        <v>146</v>
      </c>
      <c r="F147" s="86" t="n">
        <f aca="false">calc!$H$147</f>
        <v>18.4260585615057</v>
      </c>
    </row>
    <row r="148" customFormat="false" ht="17" hidden="false" customHeight="true" outlineLevel="0" collapsed="false">
      <c r="C148" s="21" t="n">
        <f aca="false">calc!$D$148</f>
        <v>27</v>
      </c>
      <c r="D148" s="21" t="n">
        <f aca="false">calc!$E$148</f>
        <v>5</v>
      </c>
      <c r="E148" s="21" t="n">
        <f aca="false">calc!$K$148</f>
        <v>147</v>
      </c>
      <c r="F148" s="86" t="n">
        <f aca="false">calc!$H$148</f>
        <v>11.2364438802074</v>
      </c>
    </row>
    <row r="149" customFormat="false" ht="17" hidden="false" customHeight="true" outlineLevel="0" collapsed="false">
      <c r="C149" s="21" t="n">
        <f aca="false">calc!$D$149</f>
        <v>28</v>
      </c>
      <c r="D149" s="21" t="n">
        <f aca="false">calc!$E$149</f>
        <v>5</v>
      </c>
      <c r="E149" s="21" t="n">
        <f aca="false">calc!$K$149</f>
        <v>148</v>
      </c>
      <c r="F149" s="86" t="n">
        <f aca="false">calc!$H$149</f>
        <v>5.73209159144323</v>
      </c>
    </row>
    <row r="150" customFormat="false" ht="17" hidden="false" customHeight="true" outlineLevel="0" collapsed="false">
      <c r="C150" s="21" t="n">
        <f aca="false">calc!$D$150</f>
        <v>29</v>
      </c>
      <c r="D150" s="21" t="n">
        <f aca="false">calc!$E$150</f>
        <v>5</v>
      </c>
      <c r="E150" s="21" t="n">
        <f aca="false">calc!$K$150</f>
        <v>149</v>
      </c>
      <c r="F150" s="86" t="n">
        <f aca="false">calc!$H$150</f>
        <v>2.04052371496866</v>
      </c>
    </row>
    <row r="151" customFormat="false" ht="17" hidden="false" customHeight="true" outlineLevel="0" collapsed="false">
      <c r="C151" s="21" t="n">
        <f aca="false">calc!$D$151</f>
        <v>30</v>
      </c>
      <c r="D151" s="21" t="n">
        <f aca="false">calc!$E$151</f>
        <v>5</v>
      </c>
      <c r="E151" s="21" t="n">
        <f aca="false">calc!$K$151</f>
        <v>150</v>
      </c>
      <c r="F151" s="86" t="n">
        <f aca="false">calc!$H$151</f>
        <v>0.22237897941681</v>
      </c>
    </row>
    <row r="152" customFormat="false" ht="17" hidden="false" customHeight="true" outlineLevel="0" collapsed="false">
      <c r="C152" s="21" t="n">
        <f aca="false">calc!$D$152</f>
        <v>31</v>
      </c>
      <c r="D152" s="21" t="n">
        <f aca="false">calc!$E$152</f>
        <v>5</v>
      </c>
      <c r="E152" s="21" t="n">
        <f aca="false">calc!$K$152</f>
        <v>151</v>
      </c>
      <c r="F152" s="86" t="n">
        <f aca="false">calc!$H$152</f>
        <v>0.277848209549758</v>
      </c>
    </row>
    <row r="153" customFormat="false" ht="17" hidden="false" customHeight="true" outlineLevel="0" collapsed="false">
      <c r="C153" s="21" t="n">
        <f aca="false">calc!$D$153</f>
        <v>1</v>
      </c>
      <c r="D153" s="21" t="n">
        <f aca="false">calc!$E$153</f>
        <v>6</v>
      </c>
      <c r="E153" s="21" t="n">
        <f aca="false">calc!$K$153</f>
        <v>152</v>
      </c>
      <c r="F153" s="86" t="n">
        <f aca="false">calc!$H$153</f>
        <v>2.15455267160661</v>
      </c>
    </row>
    <row r="154" customFormat="false" ht="17" hidden="false" customHeight="true" outlineLevel="0" collapsed="false">
      <c r="C154" s="21" t="n">
        <f aca="false">calc!$D$154</f>
        <v>2</v>
      </c>
      <c r="D154" s="21" t="n">
        <f aca="false">calc!$E$154</f>
        <v>6</v>
      </c>
      <c r="E154" s="21" t="n">
        <f aca="false">calc!$K$154</f>
        <v>153</v>
      </c>
      <c r="F154" s="86" t="n">
        <f aca="false">calc!$H$154</f>
        <v>5.75560602904985</v>
      </c>
    </row>
    <row r="155" customFormat="false" ht="17" hidden="false" customHeight="true" outlineLevel="0" collapsed="false">
      <c r="C155" s="21" t="n">
        <f aca="false">calc!$D$155</f>
        <v>3</v>
      </c>
      <c r="D155" s="21" t="n">
        <f aca="false">calc!$E$155</f>
        <v>6</v>
      </c>
      <c r="E155" s="21" t="n">
        <f aca="false">calc!$K$155</f>
        <v>154</v>
      </c>
      <c r="F155" s="86" t="n">
        <f aca="false">calc!$H$155</f>
        <v>10.9467774410511</v>
      </c>
    </row>
    <row r="156" customFormat="false" ht="17" hidden="false" customHeight="true" outlineLevel="0" collapsed="false">
      <c r="C156" s="21" t="n">
        <f aca="false">calc!$D$156</f>
        <v>4</v>
      </c>
      <c r="D156" s="21" t="n">
        <f aca="false">calc!$E$156</f>
        <v>6</v>
      </c>
      <c r="E156" s="21" t="n">
        <f aca="false">calc!$K$156</f>
        <v>155</v>
      </c>
      <c r="F156" s="86" t="n">
        <f aca="false">calc!$H$156</f>
        <v>17.5625281569728</v>
      </c>
    </row>
    <row r="157" customFormat="false" ht="17" hidden="false" customHeight="true" outlineLevel="0" collapsed="false">
      <c r="C157" s="21" t="n">
        <f aca="false">calc!$D$157</f>
        <v>5</v>
      </c>
      <c r="D157" s="21" t="n">
        <f aca="false">calc!$E$157</f>
        <v>6</v>
      </c>
      <c r="E157" s="21" t="n">
        <f aca="false">calc!$K$157</f>
        <v>156</v>
      </c>
      <c r="F157" s="86" t="n">
        <f aca="false">calc!$H$157</f>
        <v>25.4108303696067</v>
      </c>
    </row>
    <row r="158" customFormat="false" ht="17" hidden="false" customHeight="true" outlineLevel="0" collapsed="false">
      <c r="C158" s="21" t="n">
        <f aca="false">calc!$D$158</f>
        <v>6</v>
      </c>
      <c r="D158" s="21" t="n">
        <f aca="false">calc!$E$158</f>
        <v>6</v>
      </c>
      <c r="E158" s="21" t="n">
        <f aca="false">calc!$K$158</f>
        <v>157</v>
      </c>
      <c r="F158" s="86" t="n">
        <f aca="false">calc!$H$158</f>
        <v>34.2754333898959</v>
      </c>
    </row>
    <row r="159" customFormat="false" ht="17" hidden="false" customHeight="true" outlineLevel="0" collapsed="false">
      <c r="C159" s="21" t="n">
        <f aca="false">calc!$D$159</f>
        <v>7</v>
      </c>
      <c r="D159" s="21" t="n">
        <f aca="false">calc!$E$159</f>
        <v>6</v>
      </c>
      <c r="E159" s="21" t="n">
        <f aca="false">calc!$K$159</f>
        <v>158</v>
      </c>
      <c r="F159" s="86" t="n">
        <f aca="false">calc!$H$159</f>
        <v>43.9124416672016</v>
      </c>
    </row>
    <row r="160" customFormat="false" ht="17" hidden="false" customHeight="true" outlineLevel="0" collapsed="false">
      <c r="C160" s="21" t="n">
        <f aca="false">calc!$D$160</f>
        <v>8</v>
      </c>
      <c r="D160" s="21" t="n">
        <f aca="false">calc!$E$160</f>
        <v>6</v>
      </c>
      <c r="E160" s="21" t="n">
        <f aca="false">calc!$K$160</f>
        <v>159</v>
      </c>
      <c r="F160" s="86" t="n">
        <f aca="false">calc!$H$160</f>
        <v>54.0376652992791</v>
      </c>
    </row>
    <row r="161" customFormat="false" ht="17" hidden="false" customHeight="true" outlineLevel="0" collapsed="false">
      <c r="C161" s="21" t="n">
        <f aca="false">calc!$D$161</f>
        <v>9</v>
      </c>
      <c r="D161" s="21" t="n">
        <f aca="false">calc!$E$161</f>
        <v>6</v>
      </c>
      <c r="E161" s="21" t="n">
        <f aca="false">calc!$K$161</f>
        <v>160</v>
      </c>
      <c r="F161" s="86" t="n">
        <f aca="false">calc!$H$161</f>
        <v>64.3041348808182</v>
      </c>
    </row>
    <row r="162" customFormat="false" ht="17" hidden="false" customHeight="true" outlineLevel="0" collapsed="false">
      <c r="C162" s="21" t="n">
        <f aca="false">calc!$D$162</f>
        <v>10</v>
      </c>
      <c r="D162" s="21" t="n">
        <f aca="false">calc!$E$162</f>
        <v>6</v>
      </c>
      <c r="E162" s="21" t="n">
        <f aca="false">calc!$K$162</f>
        <v>161</v>
      </c>
      <c r="F162" s="86" t="n">
        <f aca="false">calc!$H$162</f>
        <v>74.2760368110512</v>
      </c>
    </row>
    <row r="163" customFormat="false" ht="17" hidden="false" customHeight="true" outlineLevel="0" collapsed="false">
      <c r="C163" s="21" t="n">
        <f aca="false">calc!$D$163</f>
        <v>11</v>
      </c>
      <c r="D163" s="21" t="n">
        <f aca="false">calc!$E$163</f>
        <v>6</v>
      </c>
      <c r="E163" s="21" t="n">
        <f aca="false">calc!$K$163</f>
        <v>162</v>
      </c>
      <c r="F163" s="86" t="n">
        <f aca="false">calc!$H$163</f>
        <v>83.4142042128332</v>
      </c>
    </row>
    <row r="164" customFormat="false" ht="17" hidden="false" customHeight="true" outlineLevel="0" collapsed="false">
      <c r="C164" s="21" t="n">
        <f aca="false">calc!$D$164</f>
        <v>12</v>
      </c>
      <c r="D164" s="21" t="n">
        <f aca="false">calc!$E$164</f>
        <v>6</v>
      </c>
      <c r="E164" s="21" t="n">
        <f aca="false">calc!$K$164</f>
        <v>163</v>
      </c>
      <c r="F164" s="86" t="n">
        <f aca="false">calc!$H$164</f>
        <v>91.0940059016406</v>
      </c>
    </row>
    <row r="165" customFormat="false" ht="17" hidden="false" customHeight="true" outlineLevel="0" collapsed="false">
      <c r="C165" s="21" t="n">
        <f aca="false">calc!$D$165</f>
        <v>13</v>
      </c>
      <c r="D165" s="21" t="n">
        <f aca="false">calc!$E$165</f>
        <v>6</v>
      </c>
      <c r="E165" s="21" t="n">
        <f aca="false">calc!$K$165</f>
        <v>164</v>
      </c>
      <c r="F165" s="86" t="n">
        <f aca="false">calc!$H$165</f>
        <v>96.6716089601748</v>
      </c>
    </row>
    <row r="166" customFormat="false" ht="17" hidden="false" customHeight="true" outlineLevel="0" collapsed="false">
      <c r="C166" s="21" t="n">
        <f aca="false">calc!$D$166</f>
        <v>14</v>
      </c>
      <c r="D166" s="21" t="n">
        <f aca="false">calc!$E$166</f>
        <v>6</v>
      </c>
      <c r="E166" s="21" t="n">
        <f aca="false">calc!$K$166</f>
        <v>165</v>
      </c>
      <c r="F166" s="86" t="n">
        <f aca="false">calc!$H$166</f>
        <v>99.5947345520012</v>
      </c>
    </row>
    <row r="167" customFormat="false" ht="17" hidden="false" customHeight="true" outlineLevel="0" collapsed="false">
      <c r="C167" s="21" t="n">
        <f aca="false">calc!$D$167</f>
        <v>15</v>
      </c>
      <c r="D167" s="21" t="n">
        <f aca="false">calc!$E$167</f>
        <v>6</v>
      </c>
      <c r="E167" s="21" t="n">
        <f aca="false">calc!$K$167</f>
        <v>166</v>
      </c>
      <c r="F167" s="86" t="n">
        <f aca="false">calc!$H$167</f>
        <v>99.5258891161611</v>
      </c>
    </row>
    <row r="168" customFormat="false" ht="17" hidden="false" customHeight="true" outlineLevel="0" collapsed="false">
      <c r="C168" s="21" t="n">
        <f aca="false">calc!$D$168</f>
        <v>16</v>
      </c>
      <c r="D168" s="21" t="n">
        <f aca="false">calc!$E$168</f>
        <v>6</v>
      </c>
      <c r="E168" s="21" t="n">
        <f aca="false">calc!$K$168</f>
        <v>167</v>
      </c>
      <c r="F168" s="86" t="n">
        <f aca="false">calc!$H$168</f>
        <v>96.4289174539927</v>
      </c>
    </row>
    <row r="169" customFormat="false" ht="17" hidden="false" customHeight="true" outlineLevel="0" collapsed="false">
      <c r="C169" s="21" t="n">
        <f aca="false">calc!$D$169</f>
        <v>17</v>
      </c>
      <c r="D169" s="21" t="n">
        <f aca="false">calc!$E$169</f>
        <v>6</v>
      </c>
      <c r="E169" s="21" t="n">
        <f aca="false">calc!$K$169</f>
        <v>168</v>
      </c>
      <c r="F169" s="86" t="n">
        <f aca="false">calc!$H$169</f>
        <v>90.5809008148619</v>
      </c>
    </row>
    <row r="170" customFormat="false" ht="17" hidden="false" customHeight="true" outlineLevel="0" collapsed="false">
      <c r="C170" s="21" t="n">
        <f aca="false">calc!$D$170</f>
        <v>18</v>
      </c>
      <c r="D170" s="21" t="n">
        <f aca="false">calc!$E$170</f>
        <v>6</v>
      </c>
      <c r="E170" s="21" t="n">
        <f aca="false">calc!$K$170</f>
        <v>169</v>
      </c>
      <c r="F170" s="86" t="n">
        <f aca="false">calc!$H$170</f>
        <v>82.5066068477841</v>
      </c>
    </row>
    <row r="171" customFormat="false" ht="17" hidden="false" customHeight="true" outlineLevel="0" collapsed="false">
      <c r="C171" s="21" t="n">
        <f aca="false">calc!$D$171</f>
        <v>19</v>
      </c>
      <c r="D171" s="21" t="n">
        <f aca="false">calc!$E$171</f>
        <v>6</v>
      </c>
      <c r="E171" s="21" t="n">
        <f aca="false">calc!$K$171</f>
        <v>170</v>
      </c>
      <c r="F171" s="86" t="n">
        <f aca="false">calc!$H$171</f>
        <v>72.8670616687292</v>
      </c>
    </row>
    <row r="172" customFormat="false" ht="17" hidden="false" customHeight="true" outlineLevel="0" collapsed="false">
      <c r="C172" s="21" t="n">
        <f aca="false">calc!$D$172</f>
        <v>20</v>
      </c>
      <c r="D172" s="21" t="n">
        <f aca="false">calc!$E$172</f>
        <v>6</v>
      </c>
      <c r="E172" s="21" t="n">
        <f aca="false">calc!$K$172</f>
        <v>171</v>
      </c>
      <c r="F172" s="86" t="n">
        <f aca="false">calc!$H$172</f>
        <v>62.3459009680008</v>
      </c>
    </row>
    <row r="173" customFormat="false" ht="17" hidden="false" customHeight="true" outlineLevel="0" collapsed="false">
      <c r="C173" s="21" t="n">
        <f aca="false">calc!$D$173</f>
        <v>21</v>
      </c>
      <c r="D173" s="21" t="n">
        <f aca="false">calc!$E$173</f>
        <v>6</v>
      </c>
      <c r="E173" s="21" t="n">
        <f aca="false">calc!$K$173</f>
        <v>172</v>
      </c>
      <c r="F173" s="86" t="n">
        <f aca="false">calc!$H$173</f>
        <v>51.5660667833362</v>
      </c>
    </row>
    <row r="174" customFormat="false" ht="17" hidden="false" customHeight="true" outlineLevel="0" collapsed="false">
      <c r="C174" s="21" t="n">
        <f aca="false">calc!$D$174</f>
        <v>22</v>
      </c>
      <c r="D174" s="21" t="n">
        <f aca="false">calc!$E$174</f>
        <v>6</v>
      </c>
      <c r="E174" s="21" t="n">
        <f aca="false">calc!$K$174</f>
        <v>173</v>
      </c>
      <c r="F174" s="86" t="n">
        <f aca="false">calc!$H$174</f>
        <v>41.0484949434848</v>
      </c>
    </row>
    <row r="175" customFormat="false" ht="17" hidden="false" customHeight="true" outlineLevel="0" collapsed="false">
      <c r="C175" s="21" t="n">
        <f aca="false">calc!$D$175</f>
        <v>23</v>
      </c>
      <c r="D175" s="21" t="n">
        <f aca="false">calc!$E$175</f>
        <v>6</v>
      </c>
      <c r="E175" s="21" t="n">
        <f aca="false">calc!$K$175</f>
        <v>174</v>
      </c>
      <c r="F175" s="86" t="n">
        <f aca="false">calc!$H$175</f>
        <v>31.206611077325</v>
      </c>
    </row>
    <row r="176" customFormat="false" ht="17" hidden="false" customHeight="true" outlineLevel="0" collapsed="false">
      <c r="C176" s="21" t="n">
        <f aca="false">calc!$D$176</f>
        <v>24</v>
      </c>
      <c r="D176" s="21" t="n">
        <f aca="false">calc!$E$176</f>
        <v>6</v>
      </c>
      <c r="E176" s="21" t="n">
        <f aca="false">calc!$K$176</f>
        <v>175</v>
      </c>
      <c r="F176" s="86" t="n">
        <f aca="false">calc!$H$176</f>
        <v>22.3616213652234</v>
      </c>
    </row>
    <row r="177" customFormat="false" ht="17" hidden="false" customHeight="true" outlineLevel="0" collapsed="false">
      <c r="C177" s="21" t="n">
        <f aca="false">calc!$D$177</f>
        <v>25</v>
      </c>
      <c r="D177" s="21" t="n">
        <f aca="false">calc!$E$177</f>
        <v>6</v>
      </c>
      <c r="E177" s="21" t="n">
        <f aca="false">calc!$K$177</f>
        <v>176</v>
      </c>
      <c r="F177" s="86" t="n">
        <f aca="false">calc!$H$177</f>
        <v>14.7635670583118</v>
      </c>
    </row>
    <row r="178" customFormat="false" ht="17" hidden="false" customHeight="true" outlineLevel="0" collapsed="false">
      <c r="C178" s="21" t="n">
        <f aca="false">calc!$D$178</f>
        <v>26</v>
      </c>
      <c r="D178" s="21" t="n">
        <f aca="false">calc!$E$178</f>
        <v>6</v>
      </c>
      <c r="E178" s="21" t="n">
        <f aca="false">calc!$K$178</f>
        <v>177</v>
      </c>
      <c r="F178" s="86" t="n">
        <f aca="false">calc!$H$178</f>
        <v>8.60841314222786</v>
      </c>
    </row>
    <row r="179" customFormat="false" ht="17" hidden="false" customHeight="true" outlineLevel="0" collapsed="false">
      <c r="C179" s="21" t="n">
        <f aca="false">calc!$D$179</f>
        <v>27</v>
      </c>
      <c r="D179" s="21" t="n">
        <f aca="false">calc!$E$179</f>
        <v>6</v>
      </c>
      <c r="E179" s="21" t="n">
        <f aca="false">calc!$K$179</f>
        <v>178</v>
      </c>
      <c r="F179" s="86" t="n">
        <f aca="false">calc!$H$179</f>
        <v>4.04779836528184</v>
      </c>
    </row>
    <row r="180" customFormat="false" ht="17" hidden="false" customHeight="true" outlineLevel="0" collapsed="false">
      <c r="C180" s="21" t="n">
        <f aca="false">calc!$D$180</f>
        <v>28</v>
      </c>
      <c r="D180" s="21" t="n">
        <f aca="false">calc!$E$180</f>
        <v>6</v>
      </c>
      <c r="E180" s="21" t="n">
        <f aca="false">calc!$K$180</f>
        <v>179</v>
      </c>
      <c r="F180" s="86" t="n">
        <f aca="false">calc!$H$180</f>
        <v>1.1924562492921</v>
      </c>
    </row>
    <row r="181" customFormat="false" ht="17" hidden="false" customHeight="true" outlineLevel="0" collapsed="false">
      <c r="C181" s="21" t="n">
        <f aca="false">calc!$D$181</f>
        <v>29</v>
      </c>
      <c r="D181" s="21" t="n">
        <f aca="false">calc!$E$181</f>
        <v>6</v>
      </c>
      <c r="E181" s="21" t="n">
        <f aca="false">calc!$K$181</f>
        <v>180</v>
      </c>
      <c r="F181" s="86" t="n">
        <f aca="false">calc!$H$181</f>
        <v>0.111867250166148</v>
      </c>
    </row>
    <row r="182" customFormat="false" ht="17" hidden="false" customHeight="true" outlineLevel="0" collapsed="false">
      <c r="C182" s="21" t="n">
        <f aca="false">calc!$D$182</f>
        <v>30</v>
      </c>
      <c r="D182" s="21" t="n">
        <f aca="false">calc!$E$182</f>
        <v>6</v>
      </c>
      <c r="E182" s="21" t="n">
        <f aca="false">calc!$K$182</f>
        <v>181</v>
      </c>
      <c r="F182" s="86" t="n">
        <f aca="false">calc!$H$182</f>
        <v>0.832369731742899</v>
      </c>
    </row>
    <row r="183" customFormat="false" ht="17" hidden="false" customHeight="true" outlineLevel="0" collapsed="false">
      <c r="C183" s="21" t="n">
        <f aca="false">calc!$D$183</f>
        <v>1</v>
      </c>
      <c r="D183" s="21" t="n">
        <f aca="false">calc!$E$183</f>
        <v>7</v>
      </c>
      <c r="E183" s="21" t="n">
        <f aca="false">calc!$K$183</f>
        <v>182</v>
      </c>
      <c r="F183" s="86" t="n">
        <f aca="false">calc!$H$183</f>
        <v>3.33523261591794</v>
      </c>
    </row>
    <row r="184" customFormat="false" ht="17" hidden="false" customHeight="true" outlineLevel="0" collapsed="false">
      <c r="C184" s="21" t="n">
        <f aca="false">calc!$D$184</f>
        <v>2</v>
      </c>
      <c r="D184" s="21" t="n">
        <f aca="false">calc!$E$184</f>
        <v>7</v>
      </c>
      <c r="E184" s="21" t="n">
        <f aca="false">calc!$K$184</f>
        <v>183</v>
      </c>
      <c r="F184" s="86" t="n">
        <f aca="false">calc!$H$184</f>
        <v>7.55584399168822</v>
      </c>
    </row>
    <row r="185" customFormat="false" ht="17" hidden="false" customHeight="true" outlineLevel="0" collapsed="false">
      <c r="C185" s="21" t="n">
        <f aca="false">calc!$D$185</f>
        <v>3</v>
      </c>
      <c r="D185" s="21" t="n">
        <f aca="false">calc!$E$185</f>
        <v>7</v>
      </c>
      <c r="E185" s="21" t="n">
        <f aca="false">calc!$K$185</f>
        <v>184</v>
      </c>
      <c r="F185" s="86" t="n">
        <f aca="false">calc!$H$185</f>
        <v>13.3848386881387</v>
      </c>
    </row>
    <row r="186" customFormat="false" ht="17" hidden="false" customHeight="true" outlineLevel="0" collapsed="false">
      <c r="C186" s="21" t="n">
        <f aca="false">calc!$D$186</f>
        <v>4</v>
      </c>
      <c r="D186" s="21" t="n">
        <f aca="false">calc!$E$186</f>
        <v>7</v>
      </c>
      <c r="E186" s="21" t="n">
        <f aca="false">calc!$K$186</f>
        <v>185</v>
      </c>
      <c r="F186" s="86" t="n">
        <f aca="false">calc!$H$186</f>
        <v>20.6708424816056</v>
      </c>
    </row>
    <row r="187" customFormat="false" ht="17" hidden="false" customHeight="true" outlineLevel="0" collapsed="false">
      <c r="C187" s="21" t="n">
        <f aca="false">calc!$D$187</f>
        <v>5</v>
      </c>
      <c r="D187" s="21" t="n">
        <f aca="false">calc!$E$187</f>
        <v>7</v>
      </c>
      <c r="E187" s="21" t="n">
        <f aca="false">calc!$K$187</f>
        <v>186</v>
      </c>
      <c r="F187" s="86" t="n">
        <f aca="false">calc!$H$187</f>
        <v>29.222358616452</v>
      </c>
    </row>
    <row r="188" customFormat="false" ht="17" hidden="false" customHeight="true" outlineLevel="0" collapsed="false">
      <c r="C188" s="21" t="n">
        <f aca="false">calc!$D$188</f>
        <v>6</v>
      </c>
      <c r="D188" s="21" t="n">
        <f aca="false">calc!$E$188</f>
        <v>7</v>
      </c>
      <c r="E188" s="21" t="n">
        <f aca="false">calc!$K$188</f>
        <v>187</v>
      </c>
      <c r="F188" s="86" t="n">
        <f aca="false">calc!$H$188</f>
        <v>38.8042691351276</v>
      </c>
    </row>
    <row r="189" customFormat="false" ht="17" hidden="false" customHeight="true" outlineLevel="0" collapsed="false">
      <c r="C189" s="21" t="n">
        <f aca="false">calc!$D$189</f>
        <v>7</v>
      </c>
      <c r="D189" s="21" t="n">
        <f aca="false">calc!$E$189</f>
        <v>7</v>
      </c>
      <c r="E189" s="21" t="n">
        <f aca="false">calc!$K$189</f>
        <v>188</v>
      </c>
      <c r="F189" s="86" t="n">
        <f aca="false">calc!$H$189</f>
        <v>49.1245524639977</v>
      </c>
    </row>
    <row r="190" customFormat="false" ht="17" hidden="false" customHeight="true" outlineLevel="0" collapsed="false">
      <c r="C190" s="21" t="n">
        <f aca="false">calc!$D$190</f>
        <v>8</v>
      </c>
      <c r="D190" s="21" t="n">
        <f aca="false">calc!$E$190</f>
        <v>7</v>
      </c>
      <c r="E190" s="21" t="n">
        <f aca="false">calc!$K$190</f>
        <v>189</v>
      </c>
      <c r="F190" s="86" t="n">
        <f aca="false">calc!$H$190</f>
        <v>59.8110170987265</v>
      </c>
    </row>
    <row r="191" customFormat="false" ht="17" hidden="false" customHeight="true" outlineLevel="0" collapsed="false">
      <c r="C191" s="21" t="n">
        <f aca="false">calc!$D$191</f>
        <v>9</v>
      </c>
      <c r="D191" s="21" t="n">
        <f aca="false">calc!$E$191</f>
        <v>7</v>
      </c>
      <c r="E191" s="21" t="n">
        <f aca="false">calc!$K$191</f>
        <v>190</v>
      </c>
      <c r="F191" s="86" t="n">
        <f aca="false">calc!$H$191</f>
        <v>70.3862529885187</v>
      </c>
    </row>
    <row r="192" customFormat="false" ht="17" hidden="false" customHeight="true" outlineLevel="0" collapsed="false">
      <c r="C192" s="21" t="n">
        <f aca="false">calc!$D$192</f>
        <v>10</v>
      </c>
      <c r="D192" s="21" t="n">
        <f aca="false">calc!$E$192</f>
        <v>7</v>
      </c>
      <c r="E192" s="21" t="n">
        <f aca="false">calc!$K$192</f>
        <v>191</v>
      </c>
      <c r="F192" s="86" t="n">
        <f aca="false">calc!$H$192</f>
        <v>80.2585243481663</v>
      </c>
    </row>
    <row r="193" customFormat="false" ht="17" hidden="false" customHeight="true" outlineLevel="0" collapsed="false">
      <c r="C193" s="21" t="n">
        <f aca="false">calc!$D$193</f>
        <v>11</v>
      </c>
      <c r="D193" s="21" t="n">
        <f aca="false">calc!$E$193</f>
        <v>7</v>
      </c>
      <c r="E193" s="21" t="n">
        <f aca="false">calc!$K$193</f>
        <v>192</v>
      </c>
      <c r="F193" s="86" t="n">
        <f aca="false">calc!$H$193</f>
        <v>88.7502618142216</v>
      </c>
    </row>
    <row r="194" customFormat="false" ht="17" hidden="false" customHeight="true" outlineLevel="0" collapsed="false">
      <c r="C194" s="21" t="n">
        <f aca="false">calc!$D$194</f>
        <v>12</v>
      </c>
      <c r="D194" s="21" t="n">
        <f aca="false">calc!$E$194</f>
        <v>7</v>
      </c>
      <c r="E194" s="21" t="n">
        <f aca="false">calc!$K$194</f>
        <v>193</v>
      </c>
      <c r="F194" s="86" t="n">
        <f aca="false">calc!$H$194</f>
        <v>95.1766137638011</v>
      </c>
    </row>
    <row r="195" customFormat="false" ht="17" hidden="false" customHeight="true" outlineLevel="0" collapsed="false">
      <c r="C195" s="21" t="n">
        <f aca="false">calc!$D$195</f>
        <v>13</v>
      </c>
      <c r="D195" s="21" t="n">
        <f aca="false">calc!$E$195</f>
        <v>7</v>
      </c>
      <c r="E195" s="21" t="n">
        <f aca="false">calc!$K$195</f>
        <v>194</v>
      </c>
      <c r="F195" s="86" t="n">
        <f aca="false">calc!$H$195</f>
        <v>98.9630169653937</v>
      </c>
    </row>
    <row r="196" customFormat="false" ht="17" hidden="false" customHeight="true" outlineLevel="0" collapsed="false">
      <c r="C196" s="21" t="n">
        <f aca="false">calc!$D$196</f>
        <v>14</v>
      </c>
      <c r="D196" s="21" t="n">
        <f aca="false">calc!$E$196</f>
        <v>7</v>
      </c>
      <c r="E196" s="21" t="n">
        <f aca="false">calc!$K$196</f>
        <v>195</v>
      </c>
      <c r="F196" s="86" t="n">
        <f aca="false">calc!$H$196</f>
        <v>99.7646131405968</v>
      </c>
    </row>
    <row r="197" customFormat="false" ht="17" hidden="false" customHeight="true" outlineLevel="0" collapsed="false">
      <c r="C197" s="21" t="n">
        <f aca="false">calc!$D$197</f>
        <v>15</v>
      </c>
      <c r="D197" s="21" t="n">
        <f aca="false">calc!$E$197</f>
        <v>7</v>
      </c>
      <c r="E197" s="21" t="n">
        <f aca="false">calc!$K$197</f>
        <v>196</v>
      </c>
      <c r="F197" s="86" t="n">
        <f aca="false">calc!$H$197</f>
        <v>97.5409904199694</v>
      </c>
    </row>
    <row r="198" customFormat="false" ht="17" hidden="false" customHeight="true" outlineLevel="0" collapsed="false">
      <c r="C198" s="21" t="n">
        <f aca="false">calc!$D$198</f>
        <v>16</v>
      </c>
      <c r="D198" s="21" t="n">
        <f aca="false">calc!$E$198</f>
        <v>7</v>
      </c>
      <c r="E198" s="21" t="n">
        <f aca="false">calc!$K$198</f>
        <v>197</v>
      </c>
      <c r="F198" s="86" t="n">
        <f aca="false">calc!$H$198</f>
        <v>92.5569030286636</v>
      </c>
    </row>
    <row r="199" customFormat="false" ht="17" hidden="false" customHeight="true" outlineLevel="0" collapsed="false">
      <c r="C199" s="21" t="n">
        <f aca="false">calc!$D$199</f>
        <v>17</v>
      </c>
      <c r="D199" s="21" t="n">
        <f aca="false">calc!$E$199</f>
        <v>7</v>
      </c>
      <c r="E199" s="21" t="n">
        <f aca="false">calc!$K$199</f>
        <v>198</v>
      </c>
      <c r="F199" s="86" t="n">
        <f aca="false">calc!$H$199</f>
        <v>85.3124272220597</v>
      </c>
    </row>
    <row r="200" customFormat="false" ht="17" hidden="false" customHeight="true" outlineLevel="0" collapsed="false">
      <c r="C200" s="21" t="n">
        <f aca="false">calc!$D$200</f>
        <v>18</v>
      </c>
      <c r="D200" s="21" t="n">
        <f aca="false">calc!$E$200</f>
        <v>7</v>
      </c>
      <c r="E200" s="21" t="n">
        <f aca="false">calc!$K$200</f>
        <v>199</v>
      </c>
      <c r="F200" s="86" t="n">
        <f aca="false">calc!$H$200</f>
        <v>76.4333491837756</v>
      </c>
    </row>
    <row r="201" customFormat="false" ht="17" hidden="false" customHeight="true" outlineLevel="0" collapsed="false">
      <c r="C201" s="21" t="n">
        <f aca="false">calc!$D$201</f>
        <v>19</v>
      </c>
      <c r="D201" s="21" t="n">
        <f aca="false">calc!$E$201</f>
        <v>7</v>
      </c>
      <c r="E201" s="21" t="n">
        <f aca="false">calc!$K$201</f>
        <v>200</v>
      </c>
      <c r="F201" s="86" t="n">
        <f aca="false">calc!$H$201</f>
        <v>66.5613990678011</v>
      </c>
    </row>
    <row r="202" customFormat="false" ht="17" hidden="false" customHeight="true" outlineLevel="0" collapsed="false">
      <c r="C202" s="21" t="n">
        <f aca="false">calc!$D$202</f>
        <v>20</v>
      </c>
      <c r="D202" s="21" t="n">
        <f aca="false">calc!$E$202</f>
        <v>7</v>
      </c>
      <c r="E202" s="21" t="n">
        <f aca="false">calc!$K$202</f>
        <v>201</v>
      </c>
      <c r="F202" s="86" t="n">
        <f aca="false">calc!$H$202</f>
        <v>56.2748721082902</v>
      </c>
    </row>
    <row r="203" customFormat="false" ht="17" hidden="false" customHeight="true" outlineLevel="0" collapsed="false">
      <c r="C203" s="21" t="n">
        <f aca="false">calc!$D$203</f>
        <v>21</v>
      </c>
      <c r="D203" s="21" t="n">
        <f aca="false">calc!$E$203</f>
        <v>7</v>
      </c>
      <c r="E203" s="21" t="n">
        <f aca="false">calc!$K$203</f>
        <v>202</v>
      </c>
      <c r="F203" s="86" t="n">
        <f aca="false">calc!$H$203</f>
        <v>46.0517508964599</v>
      </c>
    </row>
    <row r="204" customFormat="false" ht="17" hidden="false" customHeight="true" outlineLevel="0" collapsed="false">
      <c r="C204" s="21" t="n">
        <f aca="false">calc!$D$204</f>
        <v>22</v>
      </c>
      <c r="D204" s="21" t="n">
        <f aca="false">calc!$E$204</f>
        <v>7</v>
      </c>
      <c r="E204" s="21" t="n">
        <f aca="false">calc!$K$204</f>
        <v>203</v>
      </c>
      <c r="F204" s="86" t="n">
        <f aca="false">calc!$H$204</f>
        <v>36.2696804459488</v>
      </c>
    </row>
    <row r="205" customFormat="false" ht="17" hidden="false" customHeight="true" outlineLevel="0" collapsed="false">
      <c r="C205" s="21" t="n">
        <f aca="false">calc!$D$205</f>
        <v>23</v>
      </c>
      <c r="D205" s="21" t="n">
        <f aca="false">calc!$E$205</f>
        <v>7</v>
      </c>
      <c r="E205" s="21" t="n">
        <f aca="false">calc!$K$205</f>
        <v>204</v>
      </c>
      <c r="F205" s="86" t="n">
        <f aca="false">calc!$H$205</f>
        <v>27.2271344028302</v>
      </c>
    </row>
    <row r="206" customFormat="false" ht="17" hidden="false" customHeight="true" outlineLevel="0" collapsed="false">
      <c r="C206" s="21" t="n">
        <f aca="false">calc!$D$206</f>
        <v>24</v>
      </c>
      <c r="D206" s="21" t="n">
        <f aca="false">calc!$E$206</f>
        <v>7</v>
      </c>
      <c r="E206" s="21" t="n">
        <f aca="false">calc!$K$206</f>
        <v>205</v>
      </c>
      <c r="F206" s="86" t="n">
        <f aca="false">calc!$H$206</f>
        <v>19.1694293808945</v>
      </c>
    </row>
    <row r="207" customFormat="false" ht="17" hidden="false" customHeight="true" outlineLevel="0" collapsed="false">
      <c r="C207" s="21" t="n">
        <f aca="false">calc!$D$207</f>
        <v>25</v>
      </c>
      <c r="D207" s="21" t="n">
        <f aca="false">calc!$E$207</f>
        <v>7</v>
      </c>
      <c r="E207" s="21" t="n">
        <f aca="false">calc!$K$207</f>
        <v>206</v>
      </c>
      <c r="F207" s="86" t="n">
        <f aca="false">calc!$H$207</f>
        <v>12.3087066815786</v>
      </c>
    </row>
    <row r="208" customFormat="false" ht="17" hidden="false" customHeight="true" outlineLevel="0" collapsed="false">
      <c r="C208" s="21" t="n">
        <f aca="false">calc!$D$208</f>
        <v>26</v>
      </c>
      <c r="D208" s="21" t="n">
        <f aca="false">calc!$E$208</f>
        <v>7</v>
      </c>
      <c r="E208" s="21" t="n">
        <f aca="false">calc!$K$208</f>
        <v>207</v>
      </c>
      <c r="F208" s="86" t="n">
        <f aca="false">calc!$H$208</f>
        <v>6.83388474548358</v>
      </c>
    </row>
    <row r="209" customFormat="false" ht="17" hidden="false" customHeight="true" outlineLevel="0" collapsed="false">
      <c r="C209" s="21" t="n">
        <f aca="false">calc!$D$209</f>
        <v>27</v>
      </c>
      <c r="D209" s="21" t="n">
        <f aca="false">calc!$E$209</f>
        <v>7</v>
      </c>
      <c r="E209" s="21" t="n">
        <f aca="false">calc!$K$209</f>
        <v>208</v>
      </c>
      <c r="F209" s="86" t="n">
        <f aca="false">calc!$H$209</f>
        <v>2.91153077867623</v>
      </c>
    </row>
    <row r="210" customFormat="false" ht="17" hidden="false" customHeight="true" outlineLevel="0" collapsed="false">
      <c r="C210" s="21" t="n">
        <f aca="false">calc!$D$210</f>
        <v>28</v>
      </c>
      <c r="D210" s="21" t="n">
        <f aca="false">calc!$E$210</f>
        <v>7</v>
      </c>
      <c r="E210" s="21" t="n">
        <f aca="false">calc!$K$210</f>
        <v>209</v>
      </c>
      <c r="F210" s="86" t="n">
        <f aca="false">calc!$H$210</f>
        <v>0.680631597617976</v>
      </c>
    </row>
    <row r="211" customFormat="false" ht="17" hidden="false" customHeight="true" outlineLevel="0" collapsed="false">
      <c r="C211" s="21" t="n">
        <f aca="false">calc!$D$211</f>
        <v>29</v>
      </c>
      <c r="D211" s="21" t="n">
        <f aca="false">calc!$E$211</f>
        <v>7</v>
      </c>
      <c r="E211" s="21" t="n">
        <f aca="false">calc!$K$211</f>
        <v>210</v>
      </c>
      <c r="F211" s="86" t="n">
        <f aca="false">calc!$H$211</f>
        <v>0.244226749572263</v>
      </c>
    </row>
    <row r="212" customFormat="false" ht="17" hidden="false" customHeight="true" outlineLevel="0" collapsed="false">
      <c r="C212" s="21" t="n">
        <f aca="false">calc!$D$212</f>
        <v>30</v>
      </c>
      <c r="D212" s="21" t="n">
        <f aca="false">calc!$E$212</f>
        <v>7</v>
      </c>
      <c r="E212" s="21" t="n">
        <f aca="false">calc!$K$212</f>
        <v>211</v>
      </c>
      <c r="F212" s="86" t="n">
        <f aca="false">calc!$H$212</f>
        <v>1.6602342990491</v>
      </c>
    </row>
    <row r="213" customFormat="false" ht="17" hidden="false" customHeight="true" outlineLevel="0" collapsed="false">
      <c r="C213" s="21" t="n">
        <f aca="false">calc!$D$213</f>
        <v>31</v>
      </c>
      <c r="D213" s="21" t="n">
        <f aca="false">calc!$E$213</f>
        <v>7</v>
      </c>
      <c r="E213" s="21" t="n">
        <f aca="false">calc!$K$213</f>
        <v>212</v>
      </c>
      <c r="F213" s="86" t="n">
        <f aca="false">calc!$H$213</f>
        <v>4.93337377247645</v>
      </c>
    </row>
    <row r="214" customFormat="false" ht="17" hidden="false" customHeight="true" outlineLevel="0" collapsed="false">
      <c r="C214" s="21" t="n">
        <f aca="false">calc!$D$214</f>
        <v>1</v>
      </c>
      <c r="D214" s="21" t="n">
        <f aca="false">calc!$E$214</f>
        <v>8</v>
      </c>
      <c r="E214" s="21" t="n">
        <f aca="false">calc!$K$214</f>
        <v>213</v>
      </c>
      <c r="F214" s="86" t="n">
        <f aca="false">calc!$H$214</f>
        <v>10.0096575756759</v>
      </c>
    </row>
    <row r="215" customFormat="false" ht="17" hidden="false" customHeight="true" outlineLevel="0" collapsed="false">
      <c r="C215" s="21" t="n">
        <f aca="false">calc!$D$215</f>
        <v>2</v>
      </c>
      <c r="D215" s="21" t="n">
        <f aca="false">calc!$E$215</f>
        <v>8</v>
      </c>
      <c r="E215" s="21" t="n">
        <f aca="false">calc!$K$215</f>
        <v>214</v>
      </c>
      <c r="F215" s="86" t="n">
        <f aca="false">calc!$H$215</f>
        <v>16.773756659229</v>
      </c>
    </row>
    <row r="216" customFormat="false" ht="17" hidden="false" customHeight="true" outlineLevel="0" collapsed="false">
      <c r="C216" s="21" t="n">
        <f aca="false">calc!$D$216</f>
        <v>3</v>
      </c>
      <c r="D216" s="21" t="n">
        <f aca="false">calc!$E$216</f>
        <v>8</v>
      </c>
      <c r="E216" s="21" t="n">
        <f aca="false">calc!$K$216</f>
        <v>215</v>
      </c>
      <c r="F216" s="86" t="n">
        <f aca="false">calc!$H$216</f>
        <v>25.0474478507505</v>
      </c>
    </row>
    <row r="217" customFormat="false" ht="17" hidden="false" customHeight="true" outlineLevel="0" collapsed="false">
      <c r="C217" s="21" t="n">
        <f aca="false">calc!$D$217</f>
        <v>4</v>
      </c>
      <c r="D217" s="21" t="n">
        <f aca="false">calc!$E$217</f>
        <v>8</v>
      </c>
      <c r="E217" s="21" t="n">
        <f aca="false">calc!$K$217</f>
        <v>216</v>
      </c>
      <c r="F217" s="86" t="n">
        <f aca="false">calc!$H$217</f>
        <v>34.5853733513171</v>
      </c>
    </row>
    <row r="218" customFormat="false" ht="17" hidden="false" customHeight="true" outlineLevel="0" collapsed="false">
      <c r="C218" s="21" t="n">
        <f aca="false">calc!$D$218</f>
        <v>5</v>
      </c>
      <c r="D218" s="21" t="n">
        <f aca="false">calc!$E$218</f>
        <v>8</v>
      </c>
      <c r="E218" s="21" t="n">
        <f aca="false">calc!$K$218</f>
        <v>217</v>
      </c>
      <c r="F218" s="86" t="n">
        <f aca="false">calc!$H$218</f>
        <v>45.0645542286417</v>
      </c>
    </row>
    <row r="219" customFormat="false" ht="17" hidden="false" customHeight="true" outlineLevel="0" collapsed="false">
      <c r="C219" s="21" t="n">
        <f aca="false">calc!$D$219</f>
        <v>6</v>
      </c>
      <c r="D219" s="21" t="n">
        <f aca="false">calc!$E$219</f>
        <v>8</v>
      </c>
      <c r="E219" s="21" t="n">
        <f aca="false">calc!$K$219</f>
        <v>218</v>
      </c>
      <c r="F219" s="86" t="n">
        <f aca="false">calc!$H$219</f>
        <v>56.0682571867316</v>
      </c>
    </row>
    <row r="220" customFormat="false" ht="17" hidden="false" customHeight="true" outlineLevel="0" collapsed="false">
      <c r="C220" s="21" t="n">
        <f aca="false">calc!$D$220</f>
        <v>7</v>
      </c>
      <c r="D220" s="21" t="n">
        <f aca="false">calc!$E$220</f>
        <v>8</v>
      </c>
      <c r="E220" s="21" t="n">
        <f aca="false">calc!$K$220</f>
        <v>219</v>
      </c>
      <c r="F220" s="86" t="n">
        <f aca="false">calc!$H$220</f>
        <v>67.0725127871121</v>
      </c>
    </row>
    <row r="221" customFormat="false" ht="17" hidden="false" customHeight="true" outlineLevel="0" collapsed="false">
      <c r="C221" s="21" t="n">
        <f aca="false">calc!$D$221</f>
        <v>8</v>
      </c>
      <c r="D221" s="21" t="n">
        <f aca="false">calc!$E$221</f>
        <v>8</v>
      </c>
      <c r="E221" s="21" t="n">
        <f aca="false">calc!$K$221</f>
        <v>220</v>
      </c>
      <c r="F221" s="86" t="n">
        <f aca="false">calc!$H$221</f>
        <v>77.4509772646966</v>
      </c>
    </row>
    <row r="222" customFormat="false" ht="17" hidden="false" customHeight="true" outlineLevel="0" collapsed="false">
      <c r="C222" s="21" t="n">
        <f aca="false">calc!$D$222</f>
        <v>9</v>
      </c>
      <c r="D222" s="21" t="n">
        <f aca="false">calc!$E$222</f>
        <v>8</v>
      </c>
      <c r="E222" s="21" t="n">
        <f aca="false">calc!$K$222</f>
        <v>221</v>
      </c>
      <c r="F222" s="86" t="n">
        <f aca="false">calc!$H$222</f>
        <v>86.5144901740807</v>
      </c>
    </row>
    <row r="223" customFormat="false" ht="17" hidden="false" customHeight="true" outlineLevel="0" collapsed="false">
      <c r="C223" s="21" t="n">
        <f aca="false">calc!$D$223</f>
        <v>10</v>
      </c>
      <c r="D223" s="21" t="n">
        <f aca="false">calc!$E$223</f>
        <v>8</v>
      </c>
      <c r="E223" s="21" t="n">
        <f aca="false">calc!$K$223</f>
        <v>222</v>
      </c>
      <c r="F223" s="86" t="n">
        <f aca="false">calc!$H$223</f>
        <v>93.5907892398434</v>
      </c>
    </row>
    <row r="224" customFormat="false" ht="17" hidden="false" customHeight="true" outlineLevel="0" collapsed="false">
      <c r="C224" s="21" t="n">
        <f aca="false">calc!$D$224</f>
        <v>11</v>
      </c>
      <c r="D224" s="21" t="n">
        <f aca="false">calc!$E$224</f>
        <v>8</v>
      </c>
      <c r="E224" s="21" t="n">
        <f aca="false">calc!$K$224</f>
        <v>223</v>
      </c>
      <c r="F224" s="86" t="n">
        <f aca="false">calc!$H$224</f>
        <v>98.129972952074</v>
      </c>
    </row>
    <row r="225" customFormat="false" ht="17" hidden="false" customHeight="true" outlineLevel="0" collapsed="false">
      <c r="C225" s="21" t="n">
        <f aca="false">calc!$D$225</f>
        <v>12</v>
      </c>
      <c r="D225" s="21" t="n">
        <f aca="false">calc!$E$225</f>
        <v>8</v>
      </c>
      <c r="E225" s="21" t="n">
        <f aca="false">calc!$K$225</f>
        <v>224</v>
      </c>
      <c r="F225" s="86" t="n">
        <f aca="false">calc!$H$225</f>
        <v>99.8036655486224</v>
      </c>
    </row>
    <row r="226" customFormat="false" ht="17" hidden="false" customHeight="true" outlineLevel="0" collapsed="false">
      <c r="C226" s="21" t="n">
        <f aca="false">calc!$D$226</f>
        <v>13</v>
      </c>
      <c r="D226" s="21" t="n">
        <f aca="false">calc!$E$226</f>
        <v>8</v>
      </c>
      <c r="E226" s="21" t="n">
        <f aca="false">calc!$K$226</f>
        <v>225</v>
      </c>
      <c r="F226" s="86" t="n">
        <f aca="false">calc!$H$226</f>
        <v>98.5626918367327</v>
      </c>
    </row>
    <row r="227" customFormat="false" ht="17" hidden="false" customHeight="true" outlineLevel="0" collapsed="false">
      <c r="C227" s="21" t="n">
        <f aca="false">calc!$D$227</f>
        <v>14</v>
      </c>
      <c r="D227" s="21" t="n">
        <f aca="false">calc!$E$227</f>
        <v>8</v>
      </c>
      <c r="E227" s="21" t="n">
        <f aca="false">calc!$K$227</f>
        <v>226</v>
      </c>
      <c r="F227" s="86" t="n">
        <f aca="false">calc!$H$227</f>
        <v>94.632483065166</v>
      </c>
    </row>
    <row r="228" customFormat="false" ht="17" hidden="false" customHeight="true" outlineLevel="0" collapsed="false">
      <c r="C228" s="21" t="n">
        <f aca="false">calc!$D$228</f>
        <v>15</v>
      </c>
      <c r="D228" s="21" t="n">
        <f aca="false">calc!$E$228</f>
        <v>8</v>
      </c>
      <c r="E228" s="21" t="n">
        <f aca="false">calc!$K$228</f>
        <v>227</v>
      </c>
      <c r="F228" s="86" t="n">
        <f aca="false">calc!$H$228</f>
        <v>88.4495103739947</v>
      </c>
    </row>
    <row r="229" customFormat="false" ht="17" hidden="false" customHeight="true" outlineLevel="0" collapsed="false">
      <c r="C229" s="21" t="n">
        <f aca="false">calc!$D$229</f>
        <v>16</v>
      </c>
      <c r="D229" s="21" t="n">
        <f aca="false">calc!$E$229</f>
        <v>8</v>
      </c>
      <c r="E229" s="21" t="n">
        <f aca="false">calc!$K$229</f>
        <v>228</v>
      </c>
      <c r="F229" s="86" t="n">
        <f aca="false">calc!$H$229</f>
        <v>80.5636158230971</v>
      </c>
    </row>
    <row r="230" customFormat="false" ht="17" hidden="false" customHeight="true" outlineLevel="0" collapsed="false">
      <c r="C230" s="21" t="n">
        <f aca="false">calc!$D$230</f>
        <v>17</v>
      </c>
      <c r="D230" s="21" t="n">
        <f aca="false">calc!$E$230</f>
        <v>8</v>
      </c>
      <c r="E230" s="21" t="n">
        <f aca="false">calc!$K$230</f>
        <v>229</v>
      </c>
      <c r="F230" s="86" t="n">
        <f aca="false">calc!$H$230</f>
        <v>71.5404462597954</v>
      </c>
    </row>
    <row r="231" customFormat="false" ht="17" hidden="false" customHeight="true" outlineLevel="0" collapsed="false">
      <c r="C231" s="21" t="n">
        <f aca="false">calc!$D$231</f>
        <v>18</v>
      </c>
      <c r="D231" s="21" t="n">
        <f aca="false">calc!$E$231</f>
        <v>8</v>
      </c>
      <c r="E231" s="21" t="n">
        <f aca="false">calc!$K$231</f>
        <v>230</v>
      </c>
      <c r="F231" s="86" t="n">
        <f aca="false">calc!$H$231</f>
        <v>61.8919843842011</v>
      </c>
    </row>
    <row r="232" customFormat="false" ht="17" hidden="false" customHeight="true" outlineLevel="0" collapsed="false">
      <c r="C232" s="21" t="n">
        <f aca="false">calc!$D$232</f>
        <v>19</v>
      </c>
      <c r="D232" s="21" t="n">
        <f aca="false">calc!$E$232</f>
        <v>8</v>
      </c>
      <c r="E232" s="21" t="n">
        <f aca="false">calc!$K$232</f>
        <v>231</v>
      </c>
      <c r="F232" s="86" t="n">
        <f aca="false">calc!$H$232</f>
        <v>52.0464285567269</v>
      </c>
    </row>
    <row r="233" customFormat="false" ht="17" hidden="false" customHeight="true" outlineLevel="0" collapsed="false">
      <c r="C233" s="21" t="n">
        <f aca="false">calc!$D$233</f>
        <v>20</v>
      </c>
      <c r="D233" s="21" t="n">
        <f aca="false">calc!$E$233</f>
        <v>8</v>
      </c>
      <c r="E233" s="21" t="n">
        <f aca="false">calc!$K$233</f>
        <v>232</v>
      </c>
      <c r="F233" s="86" t="n">
        <f aca="false">calc!$H$233</f>
        <v>42.3515937008057</v>
      </c>
    </row>
    <row r="234" customFormat="false" ht="17" hidden="false" customHeight="true" outlineLevel="0" collapsed="false">
      <c r="C234" s="21" t="n">
        <f aca="false">calc!$D$234</f>
        <v>21</v>
      </c>
      <c r="D234" s="21" t="n">
        <f aca="false">calc!$E$234</f>
        <v>8</v>
      </c>
      <c r="E234" s="21" t="n">
        <f aca="false">calc!$K$234</f>
        <v>233</v>
      </c>
      <c r="F234" s="86" t="n">
        <f aca="false">calc!$H$234</f>
        <v>33.0966911786798</v>
      </c>
    </row>
    <row r="235" customFormat="false" ht="17" hidden="false" customHeight="true" outlineLevel="0" collapsed="false">
      <c r="C235" s="21" t="n">
        <f aca="false">calc!$D$235</f>
        <v>22</v>
      </c>
      <c r="D235" s="21" t="n">
        <f aca="false">calc!$E$235</f>
        <v>8</v>
      </c>
      <c r="E235" s="21" t="n">
        <f aca="false">calc!$K$235</f>
        <v>234</v>
      </c>
      <c r="F235" s="86" t="n">
        <f aca="false">calc!$H$235</f>
        <v>24.537281636309</v>
      </c>
    </row>
    <row r="236" customFormat="false" ht="17" hidden="false" customHeight="true" outlineLevel="0" collapsed="false">
      <c r="C236" s="21" t="n">
        <f aca="false">calc!$D$236</f>
        <v>23</v>
      </c>
      <c r="D236" s="21" t="n">
        <f aca="false">calc!$E$236</f>
        <v>8</v>
      </c>
      <c r="E236" s="21" t="n">
        <f aca="false">calc!$K$236</f>
        <v>235</v>
      </c>
      <c r="F236" s="86" t="n">
        <f aca="false">calc!$H$236</f>
        <v>16.913717870742</v>
      </c>
    </row>
    <row r="237" customFormat="false" ht="17" hidden="false" customHeight="true" outlineLevel="0" collapsed="false">
      <c r="C237" s="21" t="n">
        <f aca="false">calc!$D$237</f>
        <v>24</v>
      </c>
      <c r="D237" s="21" t="n">
        <f aca="false">calc!$E$237</f>
        <v>8</v>
      </c>
      <c r="E237" s="21" t="n">
        <f aca="false">calc!$K$237</f>
        <v>236</v>
      </c>
      <c r="F237" s="86" t="n">
        <f aca="false">calc!$H$237</f>
        <v>10.45975856511</v>
      </c>
    </row>
    <row r="238" customFormat="false" ht="17" hidden="false" customHeight="true" outlineLevel="0" collapsed="false">
      <c r="C238" s="21" t="n">
        <f aca="false">calc!$D$238</f>
        <v>25</v>
      </c>
      <c r="D238" s="21" t="n">
        <f aca="false">calc!$E$238</f>
        <v>8</v>
      </c>
      <c r="E238" s="21" t="n">
        <f aca="false">calc!$K$238</f>
        <v>237</v>
      </c>
      <c r="F238" s="86" t="n">
        <f aca="false">calc!$H$238</f>
        <v>5.40220226025605</v>
      </c>
    </row>
    <row r="239" customFormat="false" ht="17" hidden="false" customHeight="true" outlineLevel="0" collapsed="false">
      <c r="C239" s="21" t="n">
        <f aca="false">calc!$D$239</f>
        <v>26</v>
      </c>
      <c r="D239" s="21" t="n">
        <f aca="false">calc!$E$239</f>
        <v>8</v>
      </c>
      <c r="E239" s="21" t="n">
        <f aca="false">calc!$K$239</f>
        <v>238</v>
      </c>
      <c r="F239" s="86" t="n">
        <f aca="false">calc!$H$239</f>
        <v>1.95372051335009</v>
      </c>
    </row>
    <row r="240" customFormat="false" ht="17" hidden="false" customHeight="true" outlineLevel="0" collapsed="false">
      <c r="C240" s="21" t="n">
        <f aca="false">calc!$D$240</f>
        <v>27</v>
      </c>
      <c r="D240" s="21" t="n">
        <f aca="false">calc!$E$240</f>
        <v>8</v>
      </c>
      <c r="E240" s="21" t="n">
        <f aca="false">calc!$K$240</f>
        <v>239</v>
      </c>
      <c r="F240" s="86" t="n">
        <f aca="false">calc!$H$240</f>
        <v>0.300663885014524</v>
      </c>
    </row>
    <row r="241" customFormat="false" ht="17" hidden="false" customHeight="true" outlineLevel="0" collapsed="false">
      <c r="C241" s="21" t="n">
        <f aca="false">calc!$D$241</f>
        <v>28</v>
      </c>
      <c r="D241" s="21" t="n">
        <f aca="false">calc!$E$241</f>
        <v>8</v>
      </c>
      <c r="E241" s="21" t="n">
        <f aca="false">calc!$K$241</f>
        <v>240</v>
      </c>
      <c r="F241" s="86" t="n">
        <f aca="false">calc!$H$241</f>
        <v>0.587116369923985</v>
      </c>
    </row>
    <row r="242" customFormat="false" ht="17" hidden="false" customHeight="true" outlineLevel="0" collapsed="false">
      <c r="C242" s="21" t="n">
        <f aca="false">calc!$D$242</f>
        <v>29</v>
      </c>
      <c r="D242" s="21" t="n">
        <f aca="false">calc!$E$242</f>
        <v>8</v>
      </c>
      <c r="E242" s="21" t="n">
        <f aca="false">calc!$K$242</f>
        <v>241</v>
      </c>
      <c r="F242" s="86" t="n">
        <f aca="false">calc!$H$242</f>
        <v>2.8968769982565</v>
      </c>
    </row>
    <row r="243" customFormat="false" ht="17" hidden="false" customHeight="true" outlineLevel="0" collapsed="false">
      <c r="C243" s="21" t="n">
        <f aca="false">calc!$D$243</f>
        <v>30</v>
      </c>
      <c r="D243" s="21" t="n">
        <f aca="false">calc!$E$243</f>
        <v>8</v>
      </c>
      <c r="E243" s="21" t="n">
        <f aca="false">calc!$K$243</f>
        <v>242</v>
      </c>
      <c r="F243" s="86" t="n">
        <f aca="false">calc!$H$243</f>
        <v>7.23609176614185</v>
      </c>
    </row>
    <row r="244" customFormat="false" ht="17" hidden="false" customHeight="true" outlineLevel="0" collapsed="false">
      <c r="C244" s="21" t="n">
        <f aca="false">calc!$D$244</f>
        <v>31</v>
      </c>
      <c r="D244" s="21" t="n">
        <f aca="false">calc!$E$244</f>
        <v>8</v>
      </c>
      <c r="E244" s="21" t="n">
        <f aca="false">calc!$K$244</f>
        <v>243</v>
      </c>
      <c r="F244" s="86" t="n">
        <f aca="false">calc!$H$244</f>
        <v>13.5197401200073</v>
      </c>
    </row>
    <row r="245" customFormat="false" ht="17" hidden="false" customHeight="true" outlineLevel="0" collapsed="false">
      <c r="C245" s="21" t="n">
        <f aca="false">calc!$D$245</f>
        <v>1</v>
      </c>
      <c r="D245" s="21" t="n">
        <f aca="false">calc!$E$245</f>
        <v>9</v>
      </c>
      <c r="E245" s="21" t="n">
        <f aca="false">calc!$K$245</f>
        <v>244</v>
      </c>
      <c r="F245" s="86" t="n">
        <f aca="false">calc!$H$245</f>
        <v>21.5640420482129</v>
      </c>
    </row>
    <row r="246" customFormat="false" ht="17" hidden="false" customHeight="true" outlineLevel="0" collapsed="false">
      <c r="C246" s="21" t="n">
        <f aca="false">calc!$D$246</f>
        <v>2</v>
      </c>
      <c r="D246" s="21" t="n">
        <f aca="false">calc!$E$246</f>
        <v>9</v>
      </c>
      <c r="E246" s="21" t="n">
        <f aca="false">calc!$K$246</f>
        <v>245</v>
      </c>
      <c r="F246" s="86" t="n">
        <f aca="false">calc!$H$246</f>
        <v>31.08439328685</v>
      </c>
    </row>
    <row r="247" customFormat="false" ht="17" hidden="false" customHeight="true" outlineLevel="0" collapsed="false">
      <c r="C247" s="21" t="n">
        <f aca="false">calc!$D$247</f>
        <v>3</v>
      </c>
      <c r="D247" s="21" t="n">
        <f aca="false">calc!$E$247</f>
        <v>9</v>
      </c>
      <c r="E247" s="21" t="n">
        <f aca="false">calc!$K$247</f>
        <v>246</v>
      </c>
      <c r="F247" s="86" t="n">
        <f aca="false">calc!$H$247</f>
        <v>41.6965953103059</v>
      </c>
    </row>
    <row r="248" customFormat="false" ht="17" hidden="false" customHeight="true" outlineLevel="0" collapsed="false">
      <c r="C248" s="21" t="n">
        <f aca="false">calc!$D$248</f>
        <v>4</v>
      </c>
      <c r="D248" s="21" t="n">
        <f aca="false">calc!$E$248</f>
        <v>9</v>
      </c>
      <c r="E248" s="21" t="n">
        <f aca="false">calc!$K$248</f>
        <v>247</v>
      </c>
      <c r="F248" s="86" t="n">
        <f aca="false">calc!$H$248</f>
        <v>52.9201917546964</v>
      </c>
    </row>
    <row r="249" customFormat="false" ht="17" hidden="false" customHeight="true" outlineLevel="0" collapsed="false">
      <c r="C249" s="21" t="n">
        <f aca="false">calc!$D$249</f>
        <v>5</v>
      </c>
      <c r="D249" s="21" t="n">
        <f aca="false">calc!$E$249</f>
        <v>9</v>
      </c>
      <c r="E249" s="21" t="n">
        <f aca="false">calc!$K$249</f>
        <v>248</v>
      </c>
      <c r="F249" s="86" t="n">
        <f aca="false">calc!$H$249</f>
        <v>64.1870022337635</v>
      </c>
    </row>
    <row r="250" customFormat="false" ht="17" hidden="false" customHeight="true" outlineLevel="0" collapsed="false">
      <c r="C250" s="21" t="n">
        <f aca="false">calc!$D$250</f>
        <v>6</v>
      </c>
      <c r="D250" s="21" t="n">
        <f aca="false">calc!$E$250</f>
        <v>9</v>
      </c>
      <c r="E250" s="21" t="n">
        <f aca="false">calc!$K$250</f>
        <v>249</v>
      </c>
      <c r="F250" s="86" t="n">
        <f aca="false">calc!$H$250</f>
        <v>74.8626420518852</v>
      </c>
    </row>
    <row r="251" customFormat="false" ht="17" hidden="false" customHeight="true" outlineLevel="0" collapsed="false">
      <c r="C251" s="21" t="n">
        <f aca="false">calc!$D$251</f>
        <v>7</v>
      </c>
      <c r="D251" s="21" t="n">
        <f aca="false">calc!$E$251</f>
        <v>9</v>
      </c>
      <c r="E251" s="21" t="n">
        <f aca="false">calc!$K$251</f>
        <v>250</v>
      </c>
      <c r="F251" s="86" t="n">
        <f aca="false">calc!$H$251</f>
        <v>84.2893473317983</v>
      </c>
    </row>
    <row r="252" customFormat="false" ht="17" hidden="false" customHeight="true" outlineLevel="0" collapsed="false">
      <c r="C252" s="21" t="n">
        <f aca="false">calc!$D$252</f>
        <v>8</v>
      </c>
      <c r="D252" s="21" t="n">
        <f aca="false">calc!$E$252</f>
        <v>9</v>
      </c>
      <c r="E252" s="21" t="n">
        <f aca="false">calc!$K$252</f>
        <v>251</v>
      </c>
      <c r="F252" s="86" t="n">
        <f aca="false">calc!$H$252</f>
        <v>91.8519686845663</v>
      </c>
    </row>
    <row r="253" customFormat="false" ht="17" hidden="false" customHeight="true" outlineLevel="0" collapsed="false">
      <c r="C253" s="21" t="n">
        <f aca="false">calc!$D$253</f>
        <v>9</v>
      </c>
      <c r="D253" s="21" t="n">
        <f aca="false">calc!$E$253</f>
        <v>9</v>
      </c>
      <c r="E253" s="21" t="n">
        <f aca="false">calc!$K$253</f>
        <v>252</v>
      </c>
      <c r="F253" s="86" t="n">
        <f aca="false">calc!$H$253</f>
        <v>97.0573776916718</v>
      </c>
    </row>
    <row r="254" customFormat="false" ht="17" hidden="false" customHeight="true" outlineLevel="0" collapsed="false">
      <c r="C254" s="21" t="n">
        <f aca="false">calc!$D$254</f>
        <v>10</v>
      </c>
      <c r="D254" s="21" t="n">
        <f aca="false">calc!$E$254</f>
        <v>9</v>
      </c>
      <c r="E254" s="21" t="n">
        <f aca="false">calc!$K$254</f>
        <v>253</v>
      </c>
      <c r="F254" s="86" t="n">
        <f aca="false">calc!$H$254</f>
        <v>99.6067371014878</v>
      </c>
    </row>
    <row r="255" customFormat="false" ht="17" hidden="false" customHeight="true" outlineLevel="0" collapsed="false">
      <c r="C255" s="21" t="n">
        <f aca="false">calc!$D$255</f>
        <v>11</v>
      </c>
      <c r="D255" s="21" t="n">
        <f aca="false">calc!$E$255</f>
        <v>9</v>
      </c>
      <c r="E255" s="21" t="n">
        <f aca="false">calc!$K$255</f>
        <v>254</v>
      </c>
      <c r="F255" s="86" t="n">
        <f aca="false">calc!$H$255</f>
        <v>99.436784161723</v>
      </c>
    </row>
    <row r="256" customFormat="false" ht="17" hidden="false" customHeight="true" outlineLevel="0" collapsed="false">
      <c r="C256" s="21" t="n">
        <f aca="false">calc!$D$256</f>
        <v>12</v>
      </c>
      <c r="D256" s="21" t="n">
        <f aca="false">calc!$E$256</f>
        <v>9</v>
      </c>
      <c r="E256" s="21" t="n">
        <f aca="false">calc!$K$256</f>
        <v>255</v>
      </c>
      <c r="F256" s="86" t="n">
        <f aca="false">calc!$H$256</f>
        <v>96.7140899903926</v>
      </c>
    </row>
    <row r="257" customFormat="false" ht="17" hidden="false" customHeight="true" outlineLevel="0" collapsed="false">
      <c r="C257" s="21" t="n">
        <f aca="false">calc!$D$257</f>
        <v>13</v>
      </c>
      <c r="D257" s="21" t="n">
        <f aca="false">calc!$E$257</f>
        <v>9</v>
      </c>
      <c r="E257" s="21" t="n">
        <f aca="false">calc!$K$257</f>
        <v>256</v>
      </c>
      <c r="F257" s="86" t="n">
        <f aca="false">calc!$H$257</f>
        <v>91.7832446899996</v>
      </c>
    </row>
    <row r="258" customFormat="false" ht="17" hidden="false" customHeight="true" outlineLevel="0" collapsed="false">
      <c r="C258" s="21" t="n">
        <f aca="false">calc!$D$258</f>
        <v>14</v>
      </c>
      <c r="D258" s="21" t="n">
        <f aca="false">calc!$E$258</f>
        <v>9</v>
      </c>
      <c r="E258" s="21" t="n">
        <f aca="false">calc!$K$258</f>
        <v>257</v>
      </c>
      <c r="F258" s="86" t="n">
        <f aca="false">calc!$H$258</f>
        <v>85.0879731773265</v>
      </c>
    </row>
    <row r="259" customFormat="false" ht="17" hidden="false" customHeight="true" outlineLevel="0" collapsed="false">
      <c r="C259" s="21" t="n">
        <f aca="false">calc!$D$259</f>
        <v>15</v>
      </c>
      <c r="D259" s="21" t="n">
        <f aca="false">calc!$E$259</f>
        <v>9</v>
      </c>
      <c r="E259" s="21" t="n">
        <f aca="false">calc!$K$259</f>
        <v>258</v>
      </c>
      <c r="F259" s="86" t="n">
        <f aca="false">calc!$H$259</f>
        <v>77.0929944369643</v>
      </c>
    </row>
    <row r="260" customFormat="false" ht="17" hidden="false" customHeight="true" outlineLevel="0" collapsed="false">
      <c r="C260" s="21" t="n">
        <f aca="false">calc!$D$260</f>
        <v>16</v>
      </c>
      <c r="D260" s="21" t="n">
        <f aca="false">calc!$E$260</f>
        <v>9</v>
      </c>
      <c r="E260" s="21" t="n">
        <f aca="false">calc!$K$260</f>
        <v>259</v>
      </c>
      <c r="F260" s="86" t="n">
        <f aca="false">calc!$H$260</f>
        <v>68.2292835650648</v>
      </c>
    </row>
    <row r="261" customFormat="false" ht="17" hidden="false" customHeight="true" outlineLevel="0" collapsed="false">
      <c r="C261" s="21" t="n">
        <f aca="false">calc!$D$261</f>
        <v>17</v>
      </c>
      <c r="D261" s="21" t="n">
        <f aca="false">calc!$E$261</f>
        <v>9</v>
      </c>
      <c r="E261" s="21" t="n">
        <f aca="false">calc!$K$261</f>
        <v>260</v>
      </c>
      <c r="F261" s="86" t="n">
        <f aca="false">calc!$H$261</f>
        <v>58.8711038826479</v>
      </c>
    </row>
    <row r="262" customFormat="false" ht="17" hidden="false" customHeight="true" outlineLevel="0" collapsed="false">
      <c r="C262" s="21" t="n">
        <f aca="false">calc!$D$262</f>
        <v>18</v>
      </c>
      <c r="D262" s="21" t="n">
        <f aca="false">calc!$E$262</f>
        <v>9</v>
      </c>
      <c r="E262" s="21" t="n">
        <f aca="false">calc!$K$262</f>
        <v>261</v>
      </c>
      <c r="F262" s="86" t="n">
        <f aca="false">calc!$H$262</f>
        <v>49.3393425054972</v>
      </c>
    </row>
    <row r="263" customFormat="false" ht="17" hidden="false" customHeight="true" outlineLevel="0" collapsed="false">
      <c r="C263" s="21" t="n">
        <f aca="false">calc!$D$263</f>
        <v>19</v>
      </c>
      <c r="D263" s="21" t="n">
        <f aca="false">calc!$E$263</f>
        <v>9</v>
      </c>
      <c r="E263" s="21" t="n">
        <f aca="false">calc!$K$263</f>
        <v>262</v>
      </c>
      <c r="F263" s="86" t="n">
        <f aca="false">calc!$H$263</f>
        <v>39.918889695609</v>
      </c>
    </row>
    <row r="264" customFormat="false" ht="17" hidden="false" customHeight="true" outlineLevel="0" collapsed="false">
      <c r="C264" s="21" t="n">
        <f aca="false">calc!$D$264</f>
        <v>20</v>
      </c>
      <c r="D264" s="21" t="n">
        <f aca="false">calc!$E$264</f>
        <v>9</v>
      </c>
      <c r="E264" s="21" t="n">
        <f aca="false">calc!$K$264</f>
        <v>263</v>
      </c>
      <c r="F264" s="86" t="n">
        <f aca="false">calc!$H$264</f>
        <v>30.8784988606341</v>
      </c>
    </row>
    <row r="265" customFormat="false" ht="17" hidden="false" customHeight="true" outlineLevel="0" collapsed="false">
      <c r="C265" s="21" t="n">
        <f aca="false">calc!$D$265</f>
        <v>21</v>
      </c>
      <c r="D265" s="21" t="n">
        <f aca="false">calc!$E$265</f>
        <v>9</v>
      </c>
      <c r="E265" s="21" t="n">
        <f aca="false">calc!$K$265</f>
        <v>264</v>
      </c>
      <c r="F265" s="86" t="n">
        <f aca="false">calc!$H$265</f>
        <v>22.4862297868028</v>
      </c>
    </row>
    <row r="266" customFormat="false" ht="17" hidden="false" customHeight="true" outlineLevel="0" collapsed="false">
      <c r="C266" s="21" t="n">
        <f aca="false">calc!$D$266</f>
        <v>22</v>
      </c>
      <c r="D266" s="21" t="n">
        <f aca="false">calc!$E$266</f>
        <v>9</v>
      </c>
      <c r="E266" s="21" t="n">
        <f aca="false">calc!$K$266</f>
        <v>265</v>
      </c>
      <c r="F266" s="86" t="n">
        <f aca="false">calc!$H$266</f>
        <v>15.0182027381666</v>
      </c>
    </row>
    <row r="267" customFormat="false" ht="17" hidden="false" customHeight="true" outlineLevel="0" collapsed="false">
      <c r="C267" s="21" t="n">
        <f aca="false">calc!$D$267</f>
        <v>23</v>
      </c>
      <c r="D267" s="21" t="n">
        <f aca="false">calc!$E$267</f>
        <v>9</v>
      </c>
      <c r="E267" s="21" t="n">
        <f aca="false">calc!$K$267</f>
        <v>266</v>
      </c>
      <c r="F267" s="86" t="n">
        <f aca="false">calc!$H$267</f>
        <v>8.76061135702891</v>
      </c>
    </row>
    <row r="268" customFormat="false" ht="17" hidden="false" customHeight="true" outlineLevel="0" collapsed="false">
      <c r="C268" s="21" t="n">
        <f aca="false">calc!$D$268</f>
        <v>24</v>
      </c>
      <c r="D268" s="21" t="n">
        <f aca="false">calc!$E$268</f>
        <v>9</v>
      </c>
      <c r="E268" s="21" t="n">
        <f aca="false">calc!$K$268</f>
        <v>267</v>
      </c>
      <c r="F268" s="86" t="n">
        <f aca="false">calc!$H$268</f>
        <v>4.00460689313101</v>
      </c>
    </row>
    <row r="269" customFormat="false" ht="17" hidden="false" customHeight="true" outlineLevel="0" collapsed="false">
      <c r="C269" s="21" t="n">
        <f aca="false">calc!$D$269</f>
        <v>25</v>
      </c>
      <c r="D269" s="21" t="n">
        <f aca="false">calc!$E$269</f>
        <v>9</v>
      </c>
      <c r="E269" s="21" t="n">
        <f aca="false">calc!$K$269</f>
        <v>268</v>
      </c>
      <c r="F269" s="86" t="n">
        <f aca="false">calc!$H$269</f>
        <v>1.0323701664169</v>
      </c>
    </row>
    <row r="270" customFormat="false" ht="17" hidden="false" customHeight="true" outlineLevel="0" collapsed="false">
      <c r="C270" s="21" t="n">
        <f aca="false">calc!$D$270</f>
        <v>26</v>
      </c>
      <c r="D270" s="21" t="n">
        <f aca="false">calc!$E$270</f>
        <v>9</v>
      </c>
      <c r="E270" s="21" t="n">
        <f aca="false">calc!$K$270</f>
        <v>269</v>
      </c>
      <c r="F270" s="86" t="n">
        <f aca="false">calc!$H$270</f>
        <v>0.0926630585639909</v>
      </c>
    </row>
    <row r="271" customFormat="false" ht="17" hidden="false" customHeight="true" outlineLevel="0" collapsed="false">
      <c r="C271" s="21" t="n">
        <f aca="false">calc!$D$271</f>
        <v>27</v>
      </c>
      <c r="D271" s="21" t="n">
        <f aca="false">calc!$E$271</f>
        <v>9</v>
      </c>
      <c r="E271" s="21" t="n">
        <f aca="false">calc!$K$271</f>
        <v>270</v>
      </c>
      <c r="F271" s="86" t="n">
        <f aca="false">calc!$H$271</f>
        <v>1.36686018228426</v>
      </c>
    </row>
    <row r="272" customFormat="false" ht="17" hidden="false" customHeight="true" outlineLevel="0" collapsed="false">
      <c r="C272" s="21" t="n">
        <f aca="false">calc!$D$272</f>
        <v>28</v>
      </c>
      <c r="D272" s="21" t="n">
        <f aca="false">calc!$E$272</f>
        <v>9</v>
      </c>
      <c r="E272" s="21" t="n">
        <f aca="false">calc!$K$272</f>
        <v>271</v>
      </c>
      <c r="F272" s="86" t="n">
        <f aca="false">calc!$H$272</f>
        <v>4.93137162619719</v>
      </c>
    </row>
    <row r="273" customFormat="false" ht="17" hidden="false" customHeight="true" outlineLevel="0" collapsed="false">
      <c r="C273" s="21" t="n">
        <f aca="false">calc!$D$273</f>
        <v>29</v>
      </c>
      <c r="D273" s="21" t="n">
        <f aca="false">calc!$E$273</f>
        <v>9</v>
      </c>
      <c r="E273" s="21" t="n">
        <f aca="false">calc!$K$273</f>
        <v>272</v>
      </c>
      <c r="F273" s="86" t="n">
        <f aca="false">calc!$H$273</f>
        <v>10.7266647010953</v>
      </c>
    </row>
    <row r="274" customFormat="false" ht="17" hidden="false" customHeight="true" outlineLevel="0" collapsed="false">
      <c r="C274" s="21" t="n">
        <f aca="false">calc!$D$274</f>
        <v>30</v>
      </c>
      <c r="D274" s="21" t="n">
        <f aca="false">calc!$E$274</f>
        <v>9</v>
      </c>
      <c r="E274" s="21" t="n">
        <f aca="false">calc!$K$274</f>
        <v>273</v>
      </c>
      <c r="F274" s="86" t="n">
        <f aca="false">calc!$H$274</f>
        <v>18.5431527450829</v>
      </c>
    </row>
    <row r="275" customFormat="false" ht="17" hidden="false" customHeight="true" outlineLevel="0" collapsed="false">
      <c r="C275" s="21" t="n">
        <f aca="false">calc!$D$275</f>
        <v>1</v>
      </c>
      <c r="D275" s="21" t="n">
        <f aca="false">calc!$E$275</f>
        <v>10</v>
      </c>
      <c r="E275" s="21" t="n">
        <f aca="false">calc!$K$275</f>
        <v>274</v>
      </c>
      <c r="F275" s="86" t="n">
        <f aca="false">calc!$H$275</f>
        <v>28.028612505352</v>
      </c>
    </row>
    <row r="276" customFormat="false" ht="17" hidden="false" customHeight="true" outlineLevel="0" collapsed="false">
      <c r="C276" s="21" t="n">
        <f aca="false">calc!$D$276</f>
        <v>2</v>
      </c>
      <c r="D276" s="21" t="n">
        <f aca="false">calc!$E$276</f>
        <v>10</v>
      </c>
      <c r="E276" s="21" t="n">
        <f aca="false">calc!$K$276</f>
        <v>275</v>
      </c>
      <c r="F276" s="86" t="n">
        <f aca="false">calc!$H$276</f>
        <v>38.7134252289649</v>
      </c>
    </row>
    <row r="277" customFormat="false" ht="17" hidden="false" customHeight="true" outlineLevel="0" collapsed="false">
      <c r="C277" s="21" t="n">
        <f aca="false">calc!$D$277</f>
        <v>3</v>
      </c>
      <c r="D277" s="21" t="n">
        <f aca="false">calc!$E$277</f>
        <v>10</v>
      </c>
      <c r="E277" s="21" t="n">
        <f aca="false">calc!$K$277</f>
        <v>276</v>
      </c>
      <c r="F277" s="86" t="n">
        <f aca="false">calc!$H$277</f>
        <v>50.0444707902817</v>
      </c>
    </row>
    <row r="278" customFormat="false" ht="17" hidden="false" customHeight="true" outlineLevel="0" collapsed="false">
      <c r="C278" s="21" t="n">
        <f aca="false">calc!$D$278</f>
        <v>4</v>
      </c>
      <c r="D278" s="21" t="n">
        <f aca="false">calc!$E$278</f>
        <v>10</v>
      </c>
      <c r="E278" s="21" t="n">
        <f aca="false">calc!$K$278</f>
        <v>277</v>
      </c>
      <c r="F278" s="86" t="n">
        <f aca="false">calc!$H$278</f>
        <v>61.419648574991</v>
      </c>
    </row>
    <row r="279" customFormat="false" ht="17" hidden="false" customHeight="true" outlineLevel="0" collapsed="false">
      <c r="C279" s="21" t="n">
        <f aca="false">calc!$D$279</f>
        <v>5</v>
      </c>
      <c r="D279" s="21" t="n">
        <f aca="false">calc!$E$279</f>
        <v>10</v>
      </c>
      <c r="E279" s="21" t="n">
        <f aca="false">calc!$K$279</f>
        <v>278</v>
      </c>
      <c r="F279" s="86" t="n">
        <f aca="false">calc!$H$279</f>
        <v>72.2212020891667</v>
      </c>
    </row>
    <row r="280" customFormat="false" ht="17" hidden="false" customHeight="true" outlineLevel="0" collapsed="false">
      <c r="C280" s="21" t="n">
        <f aca="false">calc!$D$280</f>
        <v>6</v>
      </c>
      <c r="D280" s="21" t="n">
        <f aca="false">calc!$E$280</f>
        <v>10</v>
      </c>
      <c r="E280" s="21" t="n">
        <f aca="false">calc!$K$280</f>
        <v>279</v>
      </c>
      <c r="F280" s="86" t="n">
        <f aca="false">calc!$H$280</f>
        <v>81.8518443269789</v>
      </c>
    </row>
    <row r="281" customFormat="false" ht="17" hidden="false" customHeight="true" outlineLevel="0" collapsed="false">
      <c r="C281" s="21" t="n">
        <f aca="false">calc!$D$281</f>
        <v>7</v>
      </c>
      <c r="D281" s="21" t="n">
        <f aca="false">calc!$E$281</f>
        <v>10</v>
      </c>
      <c r="E281" s="21" t="n">
        <f aca="false">calc!$K$281</f>
        <v>280</v>
      </c>
      <c r="F281" s="86" t="n">
        <f aca="false">calc!$H$281</f>
        <v>89.77815275119</v>
      </c>
    </row>
    <row r="282" customFormat="false" ht="17" hidden="false" customHeight="true" outlineLevel="0" collapsed="false">
      <c r="C282" s="21" t="n">
        <f aca="false">calc!$D$282</f>
        <v>8</v>
      </c>
      <c r="D282" s="21" t="n">
        <f aca="false">calc!$E$282</f>
        <v>10</v>
      </c>
      <c r="E282" s="21" t="n">
        <f aca="false">calc!$K$282</f>
        <v>281</v>
      </c>
      <c r="F282" s="86" t="n">
        <f aca="false">calc!$H$282</f>
        <v>95.5797941594095</v>
      </c>
    </row>
    <row r="283" customFormat="false" ht="17" hidden="false" customHeight="true" outlineLevel="0" collapsed="false">
      <c r="C283" s="21" t="n">
        <f aca="false">calc!$D$283</f>
        <v>9</v>
      </c>
      <c r="D283" s="21" t="n">
        <f aca="false">calc!$E$283</f>
        <v>10</v>
      </c>
      <c r="E283" s="21" t="n">
        <f aca="false">calc!$K$283</f>
        <v>282</v>
      </c>
      <c r="F283" s="86" t="n">
        <f aca="false">calc!$H$283</f>
        <v>98.9944341878014</v>
      </c>
    </row>
    <row r="284" customFormat="false" ht="17" hidden="false" customHeight="true" outlineLevel="0" collapsed="false">
      <c r="C284" s="21" t="n">
        <f aca="false">calc!$D$284</f>
        <v>10</v>
      </c>
      <c r="D284" s="21" t="n">
        <f aca="false">calc!$E$284</f>
        <v>10</v>
      </c>
      <c r="E284" s="21" t="n">
        <f aca="false">calc!$K$284</f>
        <v>283</v>
      </c>
      <c r="F284" s="86" t="n">
        <f aca="false">calc!$H$284</f>
        <v>99.9430302622528</v>
      </c>
    </row>
    <row r="285" customFormat="false" ht="17" hidden="false" customHeight="true" outlineLevel="0" collapsed="false">
      <c r="C285" s="21" t="n">
        <f aca="false">calc!$D$285</f>
        <v>11</v>
      </c>
      <c r="D285" s="21" t="n">
        <f aca="false">calc!$E$285</f>
        <v>10</v>
      </c>
      <c r="E285" s="21" t="n">
        <f aca="false">calc!$K$285</f>
        <v>284</v>
      </c>
      <c r="F285" s="86" t="n">
        <f aca="false">calc!$H$285</f>
        <v>98.5237689315789</v>
      </c>
    </row>
    <row r="286" customFormat="false" ht="17" hidden="false" customHeight="true" outlineLevel="0" collapsed="false">
      <c r="C286" s="21" t="n">
        <f aca="false">calc!$D$286</f>
        <v>12</v>
      </c>
      <c r="D286" s="21" t="n">
        <f aca="false">calc!$E$286</f>
        <v>10</v>
      </c>
      <c r="E286" s="21" t="n">
        <f aca="false">calc!$K$286</f>
        <v>285</v>
      </c>
      <c r="F286" s="86" t="n">
        <f aca="false">calc!$H$286</f>
        <v>94.9747217715678</v>
      </c>
    </row>
    <row r="287" customFormat="false" ht="17" hidden="false" customHeight="true" outlineLevel="0" collapsed="false">
      <c r="C287" s="21" t="n">
        <f aca="false">calc!$D$287</f>
        <v>13</v>
      </c>
      <c r="D287" s="21" t="n">
        <f aca="false">calc!$E$287</f>
        <v>10</v>
      </c>
      <c r="E287" s="21" t="n">
        <f aca="false">calc!$K$287</f>
        <v>286</v>
      </c>
      <c r="F287" s="86" t="n">
        <f aca="false">calc!$H$287</f>
        <v>89.6183586870228</v>
      </c>
    </row>
    <row r="288" customFormat="false" ht="17" hidden="false" customHeight="true" outlineLevel="0" collapsed="false">
      <c r="C288" s="21" t="n">
        <f aca="false">calc!$D$288</f>
        <v>14</v>
      </c>
      <c r="D288" s="21" t="n">
        <f aca="false">calc!$E$288</f>
        <v>10</v>
      </c>
      <c r="E288" s="21" t="n">
        <f aca="false">calc!$K$288</f>
        <v>287</v>
      </c>
      <c r="F288" s="86" t="n">
        <f aca="false">calc!$H$288</f>
        <v>82.8069953516032</v>
      </c>
    </row>
    <row r="289" customFormat="false" ht="17" hidden="false" customHeight="true" outlineLevel="0" collapsed="false">
      <c r="C289" s="21" t="n">
        <f aca="false">calc!$D$289</f>
        <v>15</v>
      </c>
      <c r="D289" s="21" t="n">
        <f aca="false">calc!$E$289</f>
        <v>10</v>
      </c>
      <c r="E289" s="21" t="n">
        <f aca="false">calc!$K$289</f>
        <v>288</v>
      </c>
      <c r="F289" s="86" t="n">
        <f aca="false">calc!$H$289</f>
        <v>74.884197053259</v>
      </c>
    </row>
    <row r="290" customFormat="false" ht="17" hidden="false" customHeight="true" outlineLevel="0" collapsed="false">
      <c r="C290" s="21" t="n">
        <f aca="false">calc!$D$290</f>
        <v>16</v>
      </c>
      <c r="D290" s="21" t="n">
        <f aca="false">calc!$E$290</f>
        <v>10</v>
      </c>
      <c r="E290" s="21" t="n">
        <f aca="false">calc!$K$290</f>
        <v>289</v>
      </c>
      <c r="F290" s="86" t="n">
        <f aca="false">calc!$H$290</f>
        <v>66.1673317086799</v>
      </c>
    </row>
    <row r="291" customFormat="false" ht="17" hidden="false" customHeight="true" outlineLevel="0" collapsed="false">
      <c r="C291" s="21" t="n">
        <f aca="false">calc!$D$291</f>
        <v>17</v>
      </c>
      <c r="D291" s="21" t="n">
        <f aca="false">calc!$E$291</f>
        <v>10</v>
      </c>
      <c r="E291" s="21" t="n">
        <f aca="false">calc!$K$291</f>
        <v>290</v>
      </c>
      <c r="F291" s="86" t="n">
        <f aca="false">calc!$H$291</f>
        <v>56.9475937258477</v>
      </c>
    </row>
    <row r="292" customFormat="false" ht="17" hidden="false" customHeight="true" outlineLevel="0" collapsed="false">
      <c r="C292" s="21" t="n">
        <f aca="false">calc!$D$292</f>
        <v>18</v>
      </c>
      <c r="D292" s="21" t="n">
        <f aca="false">calc!$E$292</f>
        <v>10</v>
      </c>
      <c r="E292" s="21" t="n">
        <f aca="false">calc!$K$292</f>
        <v>291</v>
      </c>
      <c r="F292" s="86" t="n">
        <f aca="false">calc!$H$292</f>
        <v>47.4999723638655</v>
      </c>
    </row>
    <row r="293" customFormat="false" ht="17" hidden="false" customHeight="true" outlineLevel="0" collapsed="false">
      <c r="C293" s="21" t="n">
        <f aca="false">calc!$D$293</f>
        <v>19</v>
      </c>
      <c r="D293" s="21" t="n">
        <f aca="false">calc!$E$293</f>
        <v>10</v>
      </c>
      <c r="E293" s="21" t="n">
        <f aca="false">calc!$K$293</f>
        <v>292</v>
      </c>
      <c r="F293" s="86" t="n">
        <f aca="false">calc!$H$293</f>
        <v>38.0966574217861</v>
      </c>
    </row>
    <row r="294" customFormat="false" ht="17" hidden="false" customHeight="true" outlineLevel="0" collapsed="false">
      <c r="C294" s="21" t="n">
        <f aca="false">calc!$D$294</f>
        <v>20</v>
      </c>
      <c r="D294" s="21" t="n">
        <f aca="false">calc!$E$294</f>
        <v>10</v>
      </c>
      <c r="E294" s="21" t="n">
        <f aca="false">calc!$K$294</f>
        <v>293</v>
      </c>
      <c r="F294" s="86" t="n">
        <f aca="false">calc!$H$294</f>
        <v>29.0204771302738</v>
      </c>
    </row>
    <row r="295" customFormat="false" ht="17" hidden="false" customHeight="true" outlineLevel="0" collapsed="false">
      <c r="C295" s="21" t="n">
        <f aca="false">calc!$D$295</f>
        <v>21</v>
      </c>
      <c r="D295" s="21" t="n">
        <f aca="false">calc!$E$295</f>
        <v>10</v>
      </c>
      <c r="E295" s="21" t="n">
        <f aca="false">calc!$K$295</f>
        <v>294</v>
      </c>
      <c r="F295" s="86" t="n">
        <f aca="false">calc!$H$295</f>
        <v>20.5770748154126</v>
      </c>
    </row>
    <row r="296" customFormat="false" ht="17" hidden="false" customHeight="true" outlineLevel="0" collapsed="false">
      <c r="C296" s="21" t="n">
        <f aca="false">calc!$D$296</f>
        <v>22</v>
      </c>
      <c r="D296" s="21" t="n">
        <f aca="false">calc!$E$296</f>
        <v>10</v>
      </c>
      <c r="E296" s="21" t="n">
        <f aca="false">calc!$K$296</f>
        <v>295</v>
      </c>
      <c r="F296" s="86" t="n">
        <f aca="false">calc!$H$296</f>
        <v>13.103959034828</v>
      </c>
    </row>
    <row r="297" customFormat="false" ht="17" hidden="false" customHeight="true" outlineLevel="0" collapsed="false">
      <c r="C297" s="21" t="n">
        <f aca="false">calc!$D$297</f>
        <v>23</v>
      </c>
      <c r="D297" s="21" t="n">
        <f aca="false">calc!$E$297</f>
        <v>10</v>
      </c>
      <c r="E297" s="21" t="n">
        <f aca="false">calc!$K$297</f>
        <v>296</v>
      </c>
      <c r="F297" s="86" t="n">
        <f aca="false">calc!$H$297</f>
        <v>6.97172529562635</v>
      </c>
    </row>
    <row r="298" customFormat="false" ht="17" hidden="false" customHeight="true" outlineLevel="0" collapsed="false">
      <c r="C298" s="21" t="n">
        <f aca="false">calc!$D$298</f>
        <v>24</v>
      </c>
      <c r="D298" s="21" t="n">
        <f aca="false">calc!$E$298</f>
        <v>10</v>
      </c>
      <c r="E298" s="21" t="n">
        <f aca="false">calc!$K$298</f>
        <v>297</v>
      </c>
      <c r="F298" s="86" t="n">
        <f aca="false">calc!$H$298</f>
        <v>2.57005862321829</v>
      </c>
    </row>
    <row r="299" customFormat="false" ht="17" hidden="false" customHeight="true" outlineLevel="0" collapsed="false">
      <c r="C299" s="21" t="n">
        <f aca="false">calc!$D$299</f>
        <v>25</v>
      </c>
      <c r="D299" s="21" t="n">
        <f aca="false">calc!$E$299</f>
        <v>10</v>
      </c>
      <c r="E299" s="21" t="n">
        <f aca="false">calc!$K$299</f>
        <v>298</v>
      </c>
      <c r="F299" s="86" t="n">
        <f aca="false">calc!$H$299</f>
        <v>0.272017686489134</v>
      </c>
    </row>
    <row r="300" customFormat="false" ht="17" hidden="false" customHeight="true" outlineLevel="0" collapsed="false">
      <c r="C300" s="21" t="n">
        <f aca="false">calc!$D$300</f>
        <v>26</v>
      </c>
      <c r="D300" s="21" t="n">
        <f aca="false">calc!$E$300</f>
        <v>10</v>
      </c>
      <c r="E300" s="21" t="n">
        <f aca="false">calc!$K$300</f>
        <v>299</v>
      </c>
      <c r="F300" s="86" t="n">
        <f aca="false">calc!$H$300</f>
        <v>0.377029471709323</v>
      </c>
    </row>
    <row r="301" customFormat="false" ht="17" hidden="false" customHeight="true" outlineLevel="0" collapsed="false">
      <c r="C301" s="21" t="n">
        <f aca="false">calc!$D$301</f>
        <v>27</v>
      </c>
      <c r="D301" s="21" t="n">
        <f aca="false">calc!$E$301</f>
        <v>10</v>
      </c>
      <c r="E301" s="21" t="n">
        <f aca="false">calc!$K$301</f>
        <v>300</v>
      </c>
      <c r="F301" s="86" t="n">
        <f aca="false">calc!$H$301</f>
        <v>3.04472326252918</v>
      </c>
    </row>
    <row r="302" customFormat="false" ht="17" hidden="false" customHeight="true" outlineLevel="0" collapsed="false">
      <c r="C302" s="21" t="n">
        <f aca="false">calc!$D$302</f>
        <v>28</v>
      </c>
      <c r="D302" s="21" t="n">
        <f aca="false">calc!$E$302</f>
        <v>10</v>
      </c>
      <c r="E302" s="21" t="n">
        <f aca="false">calc!$K$302</f>
        <v>301</v>
      </c>
      <c r="F302" s="86" t="n">
        <f aca="false">calc!$H$302</f>
        <v>8.24173543711612</v>
      </c>
    </row>
    <row r="303" customFormat="false" ht="17" hidden="false" customHeight="true" outlineLevel="0" collapsed="false">
      <c r="C303" s="21" t="n">
        <f aca="false">calc!$D$303</f>
        <v>29</v>
      </c>
      <c r="D303" s="21" t="n">
        <f aca="false">calc!$E$303</f>
        <v>10</v>
      </c>
      <c r="E303" s="21" t="n">
        <f aca="false">calc!$K$303</f>
        <v>302</v>
      </c>
      <c r="F303" s="86" t="n">
        <f aca="false">calc!$H$303</f>
        <v>15.7233674753966</v>
      </c>
    </row>
    <row r="304" customFormat="false" ht="17" hidden="false" customHeight="true" outlineLevel="0" collapsed="false">
      <c r="C304" s="21" t="n">
        <f aca="false">calc!$D$304</f>
        <v>30</v>
      </c>
      <c r="D304" s="21" t="n">
        <f aca="false">calc!$E$304</f>
        <v>10</v>
      </c>
      <c r="E304" s="21" t="n">
        <f aca="false">calc!$K$304</f>
        <v>303</v>
      </c>
      <c r="F304" s="86" t="n">
        <f aca="false">calc!$H$304</f>
        <v>25.0585069447886</v>
      </c>
    </row>
    <row r="305" customFormat="false" ht="17" hidden="false" customHeight="true" outlineLevel="0" collapsed="false">
      <c r="C305" s="21" t="n">
        <f aca="false">calc!$D$305</f>
        <v>31</v>
      </c>
      <c r="D305" s="21" t="n">
        <f aca="false">calc!$E$305</f>
        <v>10</v>
      </c>
      <c r="E305" s="21" t="n">
        <f aca="false">calc!$K$305</f>
        <v>304</v>
      </c>
      <c r="F305" s="86" t="n">
        <f aca="false">calc!$H$305</f>
        <v>35.6871195094955</v>
      </c>
    </row>
    <row r="306" customFormat="false" ht="17" hidden="false" customHeight="true" outlineLevel="0" collapsed="false">
      <c r="C306" s="21" t="n">
        <f aca="false">calc!$D$306</f>
        <v>1</v>
      </c>
      <c r="D306" s="21" t="n">
        <f aca="false">calc!$E$306</f>
        <v>11</v>
      </c>
      <c r="E306" s="21" t="n">
        <f aca="false">calc!$K$306</f>
        <v>305</v>
      </c>
      <c r="F306" s="86" t="n">
        <f aca="false">calc!$H$306</f>
        <v>46.9878146242127</v>
      </c>
    </row>
    <row r="307" customFormat="false" ht="17" hidden="false" customHeight="true" outlineLevel="0" collapsed="false">
      <c r="C307" s="21" t="n">
        <f aca="false">calc!$D$307</f>
        <v>2</v>
      </c>
      <c r="D307" s="21" t="n">
        <f aca="false">calc!$E$307</f>
        <v>11</v>
      </c>
      <c r="E307" s="21" t="n">
        <f aca="false">calc!$K$307</f>
        <v>306</v>
      </c>
      <c r="F307" s="86" t="n">
        <f aca="false">calc!$H$307</f>
        <v>58.3353381400944</v>
      </c>
    </row>
    <row r="308" customFormat="false" ht="17" hidden="false" customHeight="true" outlineLevel="0" collapsed="false">
      <c r="C308" s="21" t="n">
        <f aca="false">calc!$D$308</f>
        <v>3</v>
      </c>
      <c r="D308" s="21" t="n">
        <f aca="false">calc!$E$308</f>
        <v>11</v>
      </c>
      <c r="E308" s="21" t="n">
        <f aca="false">calc!$K$308</f>
        <v>307</v>
      </c>
      <c r="F308" s="86" t="n">
        <f aca="false">calc!$H$308</f>
        <v>69.1400224182224</v>
      </c>
    </row>
    <row r="309" customFormat="false" ht="17" hidden="false" customHeight="true" outlineLevel="0" collapsed="false">
      <c r="C309" s="21" t="n">
        <f aca="false">calc!$D$309</f>
        <v>4</v>
      </c>
      <c r="D309" s="21" t="n">
        <f aca="false">calc!$E$309</f>
        <v>11</v>
      </c>
      <c r="E309" s="21" t="n">
        <f aca="false">calc!$K$309</f>
        <v>308</v>
      </c>
      <c r="F309" s="86" t="n">
        <f aca="false">calc!$H$309</f>
        <v>78.8732551817206</v>
      </c>
    </row>
    <row r="310" customFormat="false" ht="17" hidden="false" customHeight="true" outlineLevel="0" collapsed="false">
      <c r="C310" s="21" t="n">
        <f aca="false">calc!$D$310</f>
        <v>5</v>
      </c>
      <c r="D310" s="21" t="n">
        <f aca="false">calc!$E$310</f>
        <v>11</v>
      </c>
      <c r="E310" s="21" t="n">
        <f aca="false">calc!$K$310</f>
        <v>309</v>
      </c>
      <c r="F310" s="86" t="n">
        <f aca="false">calc!$H$310</f>
        <v>87.0877325352828</v>
      </c>
    </row>
    <row r="311" customFormat="false" ht="17" hidden="false" customHeight="true" outlineLevel="0" collapsed="false">
      <c r="C311" s="21" t="n">
        <f aca="false">calc!$D$311</f>
        <v>6</v>
      </c>
      <c r="D311" s="21" t="n">
        <f aca="false">calc!$E$311</f>
        <v>11</v>
      </c>
      <c r="E311" s="21" t="n">
        <f aca="false">calc!$K$311</f>
        <v>310</v>
      </c>
      <c r="F311" s="86" t="n">
        <f aca="false">calc!$H$311</f>
        <v>93.4378653017593</v>
      </c>
    </row>
    <row r="312" customFormat="false" ht="17" hidden="false" customHeight="true" outlineLevel="0" collapsed="false">
      <c r="C312" s="21" t="n">
        <f aca="false">calc!$D$312</f>
        <v>7</v>
      </c>
      <c r="D312" s="21" t="n">
        <f aca="false">calc!$E$312</f>
        <v>11</v>
      </c>
      <c r="E312" s="21" t="n">
        <f aca="false">calc!$K$312</f>
        <v>311</v>
      </c>
      <c r="F312" s="86" t="n">
        <f aca="false">calc!$H$312</f>
        <v>97.6984391363856</v>
      </c>
    </row>
    <row r="313" customFormat="false" ht="17" hidden="false" customHeight="true" outlineLevel="0" collapsed="false">
      <c r="C313" s="21" t="n">
        <f aca="false">calc!$D$313</f>
        <v>8</v>
      </c>
      <c r="D313" s="21" t="n">
        <f aca="false">calc!$E$313</f>
        <v>11</v>
      </c>
      <c r="E313" s="21" t="n">
        <f aca="false">calc!$K$313</f>
        <v>312</v>
      </c>
      <c r="F313" s="86" t="n">
        <f aca="false">calc!$H$313</f>
        <v>99.7743448305273</v>
      </c>
    </row>
    <row r="314" customFormat="false" ht="17" hidden="false" customHeight="true" outlineLevel="0" collapsed="false">
      <c r="C314" s="21" t="n">
        <f aca="false">calc!$D$314</f>
        <v>9</v>
      </c>
      <c r="D314" s="21" t="n">
        <f aca="false">calc!$E$314</f>
        <v>11</v>
      </c>
      <c r="E314" s="21" t="n">
        <f aca="false">calc!$K$314</f>
        <v>313</v>
      </c>
      <c r="F314" s="86" t="n">
        <f aca="false">calc!$H$314</f>
        <v>99.694799243448</v>
      </c>
    </row>
    <row r="315" customFormat="false" ht="17" hidden="false" customHeight="true" outlineLevel="0" collapsed="false">
      <c r="C315" s="21" t="n">
        <f aca="false">calc!$D$315</f>
        <v>10</v>
      </c>
      <c r="D315" s="21" t="n">
        <f aca="false">calc!$E$315</f>
        <v>11</v>
      </c>
      <c r="E315" s="21" t="n">
        <f aca="false">calc!$K$315</f>
        <v>314</v>
      </c>
      <c r="F315" s="86" t="n">
        <f aca="false">calc!$H$315</f>
        <v>97.5914612567023</v>
      </c>
    </row>
    <row r="316" customFormat="false" ht="17" hidden="false" customHeight="true" outlineLevel="0" collapsed="false">
      <c r="C316" s="21" t="n">
        <f aca="false">calc!$D$316</f>
        <v>11</v>
      </c>
      <c r="D316" s="21" t="n">
        <f aca="false">calc!$E$316</f>
        <v>11</v>
      </c>
      <c r="E316" s="21" t="n">
        <f aca="false">calc!$K$316</f>
        <v>315</v>
      </c>
      <c r="F316" s="86" t="n">
        <f aca="false">calc!$H$316</f>
        <v>93.6668110227173</v>
      </c>
    </row>
    <row r="317" customFormat="false" ht="17" hidden="false" customHeight="true" outlineLevel="0" collapsed="false">
      <c r="C317" s="21" t="n">
        <f aca="false">calc!$D$317</f>
        <v>12</v>
      </c>
      <c r="D317" s="21" t="n">
        <f aca="false">calc!$E$317</f>
        <v>11</v>
      </c>
      <c r="E317" s="21" t="n">
        <f aca="false">calc!$K$317</f>
        <v>316</v>
      </c>
      <c r="F317" s="86" t="n">
        <f aca="false">calc!$H$317</f>
        <v>88.1623938327753</v>
      </c>
    </row>
    <row r="318" customFormat="false" ht="17" hidden="false" customHeight="true" outlineLevel="0" collapsed="false">
      <c r="C318" s="21" t="n">
        <f aca="false">calc!$D$318</f>
        <v>13</v>
      </c>
      <c r="D318" s="21" t="n">
        <f aca="false">calc!$E$318</f>
        <v>11</v>
      </c>
      <c r="E318" s="21" t="n">
        <f aca="false">calc!$K$318</f>
        <v>317</v>
      </c>
      <c r="F318" s="86" t="n">
        <f aca="false">calc!$H$318</f>
        <v>81.3346037592639</v>
      </c>
    </row>
    <row r="319" customFormat="false" ht="17" hidden="false" customHeight="true" outlineLevel="0" collapsed="false">
      <c r="C319" s="21" t="n">
        <f aca="false">calc!$D$319</f>
        <v>14</v>
      </c>
      <c r="D319" s="21" t="n">
        <f aca="false">calc!$E$319</f>
        <v>11</v>
      </c>
      <c r="E319" s="21" t="n">
        <f aca="false">calc!$K$319</f>
        <v>318</v>
      </c>
      <c r="F319" s="86" t="n">
        <f aca="false">calc!$H$319</f>
        <v>73.4409022582756</v>
      </c>
    </row>
    <row r="320" customFormat="false" ht="17" hidden="false" customHeight="true" outlineLevel="0" collapsed="false">
      <c r="C320" s="21" t="n">
        <f aca="false">calc!$D$320</f>
        <v>15</v>
      </c>
      <c r="D320" s="21" t="n">
        <f aca="false">calc!$E$320</f>
        <v>11</v>
      </c>
      <c r="E320" s="21" t="n">
        <f aca="false">calc!$K$320</f>
        <v>319</v>
      </c>
      <c r="F320" s="86" t="n">
        <f aca="false">calc!$H$320</f>
        <v>64.7352899423768</v>
      </c>
    </row>
    <row r="321" customFormat="false" ht="17" hidden="false" customHeight="true" outlineLevel="0" collapsed="false">
      <c r="C321" s="21" t="n">
        <f aca="false">calc!$D$321</f>
        <v>16</v>
      </c>
      <c r="D321" s="21" t="n">
        <f aca="false">calc!$E$321</f>
        <v>11</v>
      </c>
      <c r="E321" s="21" t="n">
        <f aca="false">calc!$K$321</f>
        <v>320</v>
      </c>
      <c r="F321" s="86" t="n">
        <f aca="false">calc!$H$321</f>
        <v>55.4705645345525</v>
      </c>
    </row>
    <row r="322" customFormat="false" ht="17" hidden="false" customHeight="true" outlineLevel="0" collapsed="false">
      <c r="C322" s="21" t="n">
        <f aca="false">calc!$D$322</f>
        <v>17</v>
      </c>
      <c r="D322" s="21" t="n">
        <f aca="false">calc!$E$322</f>
        <v>11</v>
      </c>
      <c r="E322" s="21" t="n">
        <f aca="false">calc!$K$322</f>
        <v>321</v>
      </c>
      <c r="F322" s="86" t="n">
        <f aca="false">calc!$H$322</f>
        <v>45.9060333214829</v>
      </c>
    </row>
    <row r="323" customFormat="false" ht="17" hidden="false" customHeight="true" outlineLevel="0" collapsed="false">
      <c r="C323" s="21" t="n">
        <f aca="false">calc!$D$323</f>
        <v>18</v>
      </c>
      <c r="D323" s="21" t="n">
        <f aca="false">calc!$E$323</f>
        <v>11</v>
      </c>
      <c r="E323" s="21" t="n">
        <f aca="false">calc!$K$323</f>
        <v>322</v>
      </c>
      <c r="F323" s="86" t="n">
        <f aca="false">calc!$H$323</f>
        <v>36.3208044231479</v>
      </c>
    </row>
    <row r="324" customFormat="false" ht="17" hidden="false" customHeight="true" outlineLevel="0" collapsed="false">
      <c r="C324" s="21" t="n">
        <f aca="false">calc!$D$324</f>
        <v>19</v>
      </c>
      <c r="D324" s="21" t="n">
        <f aca="false">calc!$E$324</f>
        <v>11</v>
      </c>
      <c r="E324" s="21" t="n">
        <f aca="false">calc!$K$324</f>
        <v>323</v>
      </c>
      <c r="F324" s="86" t="n">
        <f aca="false">calc!$H$324</f>
        <v>27.0322220016051</v>
      </c>
    </row>
    <row r="325" customFormat="false" ht="17" hidden="false" customHeight="true" outlineLevel="0" collapsed="false">
      <c r="C325" s="21" t="n">
        <f aca="false">calc!$D$325</f>
        <v>20</v>
      </c>
      <c r="D325" s="21" t="n">
        <f aca="false">calc!$E$325</f>
        <v>11</v>
      </c>
      <c r="E325" s="21" t="n">
        <f aca="false">calc!$K$325</f>
        <v>324</v>
      </c>
      <c r="F325" s="86" t="n">
        <f aca="false">calc!$H$325</f>
        <v>18.4152910508277</v>
      </c>
    </row>
    <row r="326" customFormat="false" ht="17" hidden="false" customHeight="true" outlineLevel="0" collapsed="false">
      <c r="C326" s="21" t="n">
        <f aca="false">calc!$D$326</f>
        <v>21</v>
      </c>
      <c r="D326" s="21" t="n">
        <f aca="false">calc!$E$326</f>
        <v>11</v>
      </c>
      <c r="E326" s="21" t="n">
        <f aca="false">calc!$K$326</f>
        <v>325</v>
      </c>
      <c r="F326" s="86" t="n">
        <f aca="false">calc!$H$326</f>
        <v>10.913085390083</v>
      </c>
    </row>
    <row r="327" customFormat="false" ht="17" hidden="false" customHeight="true" outlineLevel="0" collapsed="false">
      <c r="C327" s="21" t="n">
        <f aca="false">calc!$D$327</f>
        <v>22</v>
      </c>
      <c r="D327" s="21" t="n">
        <f aca="false">calc!$E$327</f>
        <v>11</v>
      </c>
      <c r="E327" s="21" t="n">
        <f aca="false">calc!$K$327</f>
        <v>326</v>
      </c>
      <c r="F327" s="86" t="n">
        <f aca="false">calc!$H$327</f>
        <v>5.02371668319109</v>
      </c>
    </row>
    <row r="328" customFormat="false" ht="17" hidden="false" customHeight="true" outlineLevel="0" collapsed="false">
      <c r="C328" s="21" t="n">
        <f aca="false">calc!$D$328</f>
        <v>23</v>
      </c>
      <c r="D328" s="21" t="n">
        <f aca="false">calc!$E$328</f>
        <v>11</v>
      </c>
      <c r="E328" s="21" t="n">
        <f aca="false">calc!$K$328</f>
        <v>327</v>
      </c>
      <c r="F328" s="86" t="n">
        <f aca="false">calc!$H$328</f>
        <v>1.25174262464146</v>
      </c>
    </row>
    <row r="329" customFormat="false" ht="17" hidden="false" customHeight="true" outlineLevel="0" collapsed="false">
      <c r="C329" s="21" t="n">
        <f aca="false">calc!$D$329</f>
        <v>24</v>
      </c>
      <c r="D329" s="21" t="n">
        <f aca="false">calc!$E$329</f>
        <v>11</v>
      </c>
      <c r="E329" s="21" t="n">
        <f aca="false">calc!$K$329</f>
        <v>328</v>
      </c>
      <c r="F329" s="86" t="n">
        <f aca="false">calc!$H$329</f>
        <v>0.0246872626110284</v>
      </c>
    </row>
    <row r="330" customFormat="false" ht="17" hidden="false" customHeight="true" outlineLevel="0" collapsed="false">
      <c r="C330" s="21" t="n">
        <f aca="false">calc!$D$330</f>
        <v>25</v>
      </c>
      <c r="D330" s="21" t="n">
        <f aca="false">calc!$E$330</f>
        <v>11</v>
      </c>
      <c r="E330" s="21" t="n">
        <f aca="false">calc!$K$330</f>
        <v>329</v>
      </c>
      <c r="F330" s="86" t="n">
        <f aca="false">calc!$H$330</f>
        <v>1.59558389475065</v>
      </c>
    </row>
    <row r="331" customFormat="false" ht="17" hidden="false" customHeight="true" outlineLevel="0" collapsed="false">
      <c r="C331" s="21" t="n">
        <f aca="false">calc!$D$331</f>
        <v>26</v>
      </c>
      <c r="D331" s="21" t="n">
        <f aca="false">calc!$E$331</f>
        <v>11</v>
      </c>
      <c r="E331" s="21" t="n">
        <f aca="false">calc!$K$331</f>
        <v>330</v>
      </c>
      <c r="F331" s="86" t="n">
        <f aca="false">calc!$H$331</f>
        <v>5.9678253123045</v>
      </c>
    </row>
    <row r="332" customFormat="false" ht="17" hidden="false" customHeight="true" outlineLevel="0" collapsed="false">
      <c r="C332" s="21" t="n">
        <f aca="false">calc!$D$332</f>
        <v>27</v>
      </c>
      <c r="D332" s="21" t="n">
        <f aca="false">calc!$E$332</f>
        <v>11</v>
      </c>
      <c r="E332" s="21" t="n">
        <f aca="false">calc!$K$332</f>
        <v>331</v>
      </c>
      <c r="F332" s="86" t="n">
        <f aca="false">calc!$H$332</f>
        <v>12.8750341793601</v>
      </c>
    </row>
    <row r="333" customFormat="false" ht="17" hidden="false" customHeight="true" outlineLevel="0" collapsed="false">
      <c r="C333" s="21" t="n">
        <f aca="false">calc!$D$333</f>
        <v>28</v>
      </c>
      <c r="D333" s="21" t="n">
        <f aca="false">calc!$E$333</f>
        <v>11</v>
      </c>
      <c r="E333" s="21" t="n">
        <f aca="false">calc!$K$333</f>
        <v>332</v>
      </c>
      <c r="F333" s="86" t="n">
        <f aca="false">calc!$H$333</f>
        <v>21.8246276461391</v>
      </c>
    </row>
    <row r="334" customFormat="false" ht="17" hidden="false" customHeight="true" outlineLevel="0" collapsed="false">
      <c r="C334" s="21" t="n">
        <f aca="false">calc!$D$334</f>
        <v>29</v>
      </c>
      <c r="D334" s="21" t="n">
        <f aca="false">calc!$E$334</f>
        <v>11</v>
      </c>
      <c r="E334" s="21" t="n">
        <f aca="false">calc!$K$334</f>
        <v>333</v>
      </c>
      <c r="F334" s="86" t="n">
        <f aca="false">calc!$H$334</f>
        <v>32.1849695137044</v>
      </c>
    </row>
    <row r="335" customFormat="false" ht="17" hidden="false" customHeight="true" outlineLevel="0" collapsed="false">
      <c r="C335" s="21" t="n">
        <f aca="false">calc!$D$335</f>
        <v>30</v>
      </c>
      <c r="D335" s="21" t="n">
        <f aca="false">calc!$E$335</f>
        <v>11</v>
      </c>
      <c r="E335" s="21" t="n">
        <f aca="false">calc!$K$335</f>
        <v>334</v>
      </c>
      <c r="F335" s="86" t="n">
        <f aca="false">calc!$H$335</f>
        <v>43.2816034636522</v>
      </c>
    </row>
    <row r="336" customFormat="false" ht="17" hidden="false" customHeight="true" outlineLevel="0" collapsed="false">
      <c r="C336" s="21" t="n">
        <f aca="false">calc!$D$336</f>
        <v>1</v>
      </c>
      <c r="D336" s="21" t="n">
        <f aca="false">calc!$E$336</f>
        <v>12</v>
      </c>
      <c r="E336" s="21" t="n">
        <f aca="false">calc!$K$336</f>
        <v>335</v>
      </c>
      <c r="F336" s="86" t="n">
        <f aca="false">calc!$H$336</f>
        <v>54.4736968110265</v>
      </c>
    </row>
    <row r="337" customFormat="false" ht="17" hidden="false" customHeight="true" outlineLevel="0" collapsed="false">
      <c r="C337" s="21" t="n">
        <f aca="false">calc!$D$337</f>
        <v>2</v>
      </c>
      <c r="D337" s="21" t="n">
        <f aca="false">calc!$E$337</f>
        <v>12</v>
      </c>
      <c r="E337" s="21" t="n">
        <f aca="false">calc!$K$337</f>
        <v>336</v>
      </c>
      <c r="F337" s="86" t="n">
        <f aca="false">calc!$H$337</f>
        <v>65.1986243138846</v>
      </c>
    </row>
    <row r="338" customFormat="false" ht="17" hidden="false" customHeight="true" outlineLevel="0" collapsed="false">
      <c r="C338" s="21" t="n">
        <f aca="false">calc!$D$338</f>
        <v>3</v>
      </c>
      <c r="D338" s="21" t="n">
        <f aca="false">calc!$E$338</f>
        <v>12</v>
      </c>
      <c r="E338" s="21" t="n">
        <f aca="false">calc!$K$338</f>
        <v>337</v>
      </c>
      <c r="F338" s="86" t="n">
        <f aca="false">calc!$H$338</f>
        <v>74.9884318282859</v>
      </c>
    </row>
    <row r="339" customFormat="false" ht="17" hidden="false" customHeight="true" outlineLevel="0" collapsed="false">
      <c r="C339" s="21" t="n">
        <f aca="false">calc!$D$339</f>
        <v>4</v>
      </c>
      <c r="D339" s="21" t="n">
        <f aca="false">calc!$E$339</f>
        <v>12</v>
      </c>
      <c r="E339" s="21" t="n">
        <f aca="false">calc!$K$339</f>
        <v>338</v>
      </c>
      <c r="F339" s="86" t="n">
        <f aca="false">calc!$H$339</f>
        <v>83.4699113722139</v>
      </c>
    </row>
    <row r="340" customFormat="false" ht="17" hidden="false" customHeight="true" outlineLevel="0" collapsed="false">
      <c r="C340" s="21" t="n">
        <f aca="false">calc!$D$340</f>
        <v>5</v>
      </c>
      <c r="D340" s="21" t="n">
        <f aca="false">calc!$E$340</f>
        <v>12</v>
      </c>
      <c r="E340" s="21" t="n">
        <f aca="false">calc!$K$340</f>
        <v>339</v>
      </c>
      <c r="F340" s="86" t="n">
        <f aca="false">calc!$H$340</f>
        <v>90.3596801446528</v>
      </c>
    </row>
    <row r="341" customFormat="false" ht="17" hidden="false" customHeight="true" outlineLevel="0" collapsed="false">
      <c r="C341" s="21" t="n">
        <f aca="false">calc!$D$341</f>
        <v>6</v>
      </c>
      <c r="D341" s="21" t="n">
        <f aca="false">calc!$E$341</f>
        <v>12</v>
      </c>
      <c r="E341" s="21" t="n">
        <f aca="false">calc!$K$341</f>
        <v>340</v>
      </c>
      <c r="F341" s="86" t="n">
        <f aca="false">calc!$H$341</f>
        <v>95.4603095222445</v>
      </c>
    </row>
    <row r="342" customFormat="false" ht="17" hidden="false" customHeight="true" outlineLevel="0" collapsed="false">
      <c r="C342" s="21" t="n">
        <f aca="false">calc!$D$342</f>
        <v>7</v>
      </c>
      <c r="D342" s="21" t="n">
        <f aca="false">calc!$E$342</f>
        <v>12</v>
      </c>
      <c r="E342" s="21" t="n">
        <f aca="false">calc!$K$342</f>
        <v>341</v>
      </c>
      <c r="F342" s="86" t="n">
        <f aca="false">calc!$H$342</f>
        <v>98.6576838342849</v>
      </c>
    </row>
    <row r="343" customFormat="false" ht="17" hidden="false" customHeight="true" outlineLevel="0" collapsed="false">
      <c r="C343" s="21" t="n">
        <f aca="false">calc!$D$343</f>
        <v>8</v>
      </c>
      <c r="D343" s="21" t="n">
        <f aca="false">calc!$E$343</f>
        <v>12</v>
      </c>
      <c r="E343" s="21" t="n">
        <f aca="false">calc!$K$343</f>
        <v>342</v>
      </c>
      <c r="F343" s="86" t="n">
        <f aca="false">calc!$H$343</f>
        <v>99.9167421633826</v>
      </c>
    </row>
    <row r="344" customFormat="false" ht="17" hidden="false" customHeight="true" outlineLevel="0" collapsed="false">
      <c r="C344" s="21" t="n">
        <f aca="false">calc!$D$344</f>
        <v>9</v>
      </c>
      <c r="D344" s="21" t="n">
        <f aca="false">calc!$E$344</f>
        <v>12</v>
      </c>
      <c r="E344" s="21" t="n">
        <f aca="false">calc!$K$344</f>
        <v>343</v>
      </c>
      <c r="F344" s="86" t="n">
        <f aca="false">calc!$H$344</f>
        <v>99.2733207780321</v>
      </c>
    </row>
    <row r="345" customFormat="false" ht="17" hidden="false" customHeight="true" outlineLevel="0" collapsed="false">
      <c r="C345" s="21" t="n">
        <f aca="false">calc!$D$345</f>
        <v>10</v>
      </c>
      <c r="D345" s="21" t="n">
        <f aca="false">calc!$E$345</f>
        <v>12</v>
      </c>
      <c r="E345" s="21" t="n">
        <f aca="false">calc!$K$345</f>
        <v>344</v>
      </c>
      <c r="F345" s="86" t="n">
        <f aca="false">calc!$H$345</f>
        <v>96.8222672638514</v>
      </c>
    </row>
    <row r="346" customFormat="false" ht="17" hidden="false" customHeight="true" outlineLevel="0" collapsed="false">
      <c r="C346" s="21" t="n">
        <f aca="false">calc!$D$346</f>
        <v>11</v>
      </c>
      <c r="D346" s="21" t="n">
        <f aca="false">calc!$E$346</f>
        <v>12</v>
      </c>
      <c r="E346" s="21" t="n">
        <f aca="false">calc!$K$346</f>
        <v>345</v>
      </c>
      <c r="F346" s="86" t="n">
        <f aca="false">calc!$H$346</f>
        <v>92.7039254666888</v>
      </c>
    </row>
    <row r="347" customFormat="false" ht="17" hidden="false" customHeight="true" outlineLevel="0" collapsed="false">
      <c r="C347" s="21" t="n">
        <f aca="false">calc!$D$347</f>
        <v>12</v>
      </c>
      <c r="D347" s="21" t="n">
        <f aca="false">calc!$E$347</f>
        <v>12</v>
      </c>
      <c r="E347" s="21" t="n">
        <f aca="false">calc!$K$347</f>
        <v>346</v>
      </c>
      <c r="F347" s="86" t="n">
        <f aca="false">calc!$H$347</f>
        <v>87.0912955790611</v>
      </c>
    </row>
    <row r="348" customFormat="false" ht="17" hidden="false" customHeight="true" outlineLevel="0" collapsed="false">
      <c r="C348" s="21" t="n">
        <f aca="false">calc!$D$348</f>
        <v>13</v>
      </c>
      <c r="D348" s="21" t="n">
        <f aca="false">calc!$E$348</f>
        <v>12</v>
      </c>
      <c r="E348" s="21" t="n">
        <f aca="false">calc!$K$348</f>
        <v>347</v>
      </c>
      <c r="F348" s="86" t="n">
        <f aca="false">calc!$H$348</f>
        <v>80.1792709102742</v>
      </c>
    </row>
    <row r="349" customFormat="false" ht="17" hidden="false" customHeight="true" outlineLevel="0" collapsed="false">
      <c r="C349" s="21" t="n">
        <f aca="false">calc!$D$349</f>
        <v>14</v>
      </c>
      <c r="D349" s="21" t="n">
        <f aca="false">calc!$E$349</f>
        <v>12</v>
      </c>
      <c r="E349" s="21" t="n">
        <f aca="false">calc!$K$349</f>
        <v>348</v>
      </c>
      <c r="F349" s="86" t="n">
        <f aca="false">calc!$H$349</f>
        <v>72.1768098364776</v>
      </c>
    </row>
    <row r="350" customFormat="false" ht="17" hidden="false" customHeight="true" outlineLevel="0" collapsed="false">
      <c r="C350" s="21" t="n">
        <f aca="false">calc!$D$350</f>
        <v>15</v>
      </c>
      <c r="D350" s="21" t="n">
        <f aca="false">calc!$E$350</f>
        <v>12</v>
      </c>
      <c r="E350" s="21" t="n">
        <f aca="false">calc!$K$350</f>
        <v>349</v>
      </c>
      <c r="F350" s="86" t="n">
        <f aca="false">calc!$H$350</f>
        <v>63.3035718511368</v>
      </c>
    </row>
    <row r="351" customFormat="false" ht="17" hidden="false" customHeight="true" outlineLevel="0" collapsed="false">
      <c r="C351" s="21" t="n">
        <f aca="false">calc!$D$351</f>
        <v>16</v>
      </c>
      <c r="D351" s="21" t="n">
        <f aca="false">calc!$E$351</f>
        <v>12</v>
      </c>
      <c r="E351" s="21" t="n">
        <f aca="false">calc!$K$351</f>
        <v>350</v>
      </c>
      <c r="F351" s="86" t="n">
        <f aca="false">calc!$H$351</f>
        <v>53.7938534348846</v>
      </c>
    </row>
    <row r="352" customFormat="false" ht="17" hidden="false" customHeight="true" outlineLevel="0" collapsed="false">
      <c r="C352" s="21" t="n">
        <f aca="false">calc!$D$352</f>
        <v>17</v>
      </c>
      <c r="D352" s="21" t="n">
        <f aca="false">calc!$E$352</f>
        <v>12</v>
      </c>
      <c r="E352" s="21" t="n">
        <f aca="false">calc!$K$352</f>
        <v>351</v>
      </c>
      <c r="F352" s="86" t="n">
        <f aca="false">calc!$H$352</f>
        <v>43.9108531733332</v>
      </c>
    </row>
    <row r="353" customFormat="false" ht="17" hidden="false" customHeight="true" outlineLevel="0" collapsed="false">
      <c r="C353" s="21" t="n">
        <f aca="false">calc!$D$353</f>
        <v>18</v>
      </c>
      <c r="D353" s="21" t="n">
        <f aca="false">calc!$E$353</f>
        <v>12</v>
      </c>
      <c r="E353" s="21" t="n">
        <f aca="false">calc!$K$353</f>
        <v>352</v>
      </c>
      <c r="F353" s="86" t="n">
        <f aca="false">calc!$H$353</f>
        <v>33.971491638848</v>
      </c>
    </row>
    <row r="354" customFormat="false" ht="17" hidden="false" customHeight="true" outlineLevel="0" collapsed="false">
      <c r="C354" s="21" t="n">
        <f aca="false">calc!$D$354</f>
        <v>19</v>
      </c>
      <c r="D354" s="21" t="n">
        <f aca="false">calc!$E$354</f>
        <v>12</v>
      </c>
      <c r="E354" s="21" t="n">
        <f aca="false">calc!$K$354</f>
        <v>353</v>
      </c>
      <c r="F354" s="86" t="n">
        <f aca="false">calc!$H$354</f>
        <v>24.3754885805456</v>
      </c>
    </row>
    <row r="355" customFormat="false" ht="17" hidden="false" customHeight="true" outlineLevel="0" collapsed="false">
      <c r="C355" s="21" t="n">
        <f aca="false">calc!$D$355</f>
        <v>20</v>
      </c>
      <c r="D355" s="21" t="n">
        <f aca="false">calc!$E$355</f>
        <v>12</v>
      </c>
      <c r="E355" s="21" t="n">
        <f aca="false">calc!$K$355</f>
        <v>354</v>
      </c>
      <c r="F355" s="86" t="n">
        <f aca="false">calc!$H$355</f>
        <v>15.6238470479463</v>
      </c>
    </row>
    <row r="356" customFormat="false" ht="17" hidden="false" customHeight="true" outlineLevel="0" collapsed="false">
      <c r="C356" s="21" t="n">
        <f aca="false">calc!$D$356</f>
        <v>21</v>
      </c>
      <c r="D356" s="21" t="n">
        <f aca="false">calc!$E$356</f>
        <v>12</v>
      </c>
      <c r="E356" s="21" t="n">
        <f aca="false">calc!$K$356</f>
        <v>355</v>
      </c>
      <c r="F356" s="86" t="n">
        <f aca="false">calc!$H$356</f>
        <v>8.30622838168647</v>
      </c>
    </row>
    <row r="357" customFormat="false" ht="17" hidden="false" customHeight="true" outlineLevel="0" collapsed="false">
      <c r="C357" s="21" t="n">
        <f aca="false">calc!$D$357</f>
        <v>22</v>
      </c>
      <c r="D357" s="21" t="n">
        <f aca="false">calc!$E$357</f>
        <v>12</v>
      </c>
      <c r="E357" s="21" t="n">
        <f aca="false">calc!$K$357</f>
        <v>356</v>
      </c>
      <c r="F357" s="86" t="n">
        <f aca="false">calc!$H$357</f>
        <v>3.04101723894276</v>
      </c>
    </row>
    <row r="358" customFormat="false" ht="17" hidden="false" customHeight="true" outlineLevel="0" collapsed="false">
      <c r="C358" s="21" t="n">
        <f aca="false">calc!$D$358</f>
        <v>23</v>
      </c>
      <c r="D358" s="21" t="n">
        <f aca="false">calc!$E$358</f>
        <v>12</v>
      </c>
      <c r="E358" s="21" t="n">
        <f aca="false">calc!$K$358</f>
        <v>357</v>
      </c>
      <c r="F358" s="86" t="n">
        <f aca="false">calc!$H$358</f>
        <v>0.370400268079046</v>
      </c>
    </row>
    <row r="359" customFormat="false" ht="17" hidden="false" customHeight="true" outlineLevel="0" collapsed="false">
      <c r="C359" s="21" t="n">
        <f aca="false">calc!$D$359</f>
        <v>24</v>
      </c>
      <c r="D359" s="21" t="n">
        <f aca="false">calc!$E$359</f>
        <v>12</v>
      </c>
      <c r="E359" s="21" t="n">
        <f aca="false">calc!$K$359</f>
        <v>358</v>
      </c>
      <c r="F359" s="86" t="n">
        <f aca="false">calc!$H$359</f>
        <v>0.639376181173051</v>
      </c>
    </row>
    <row r="360" customFormat="false" ht="17" hidden="false" customHeight="true" outlineLevel="0" collapsed="false">
      <c r="C360" s="21" t="n">
        <f aca="false">calc!$D$360</f>
        <v>25</v>
      </c>
      <c r="D360" s="21" t="n">
        <f aca="false">calc!$E$360</f>
        <v>12</v>
      </c>
      <c r="E360" s="21" t="n">
        <f aca="false">calc!$K$360</f>
        <v>359</v>
      </c>
      <c r="F360" s="86" t="n">
        <f aca="false">calc!$H$360</f>
        <v>3.90479451335935</v>
      </c>
    </row>
    <row r="361" customFormat="false" ht="17" hidden="false" customHeight="true" outlineLevel="0" collapsed="false">
      <c r="C361" s="21" t="n">
        <f aca="false">calc!$D$361</f>
        <v>26</v>
      </c>
      <c r="D361" s="21" t="n">
        <f aca="false">calc!$E$361</f>
        <v>12</v>
      </c>
      <c r="E361" s="21" t="n">
        <f aca="false">calc!$K$361</f>
        <v>360</v>
      </c>
      <c r="F361" s="86" t="n">
        <f aca="false">calc!$H$361</f>
        <v>9.91259819612442</v>
      </c>
    </row>
    <row r="362" customFormat="false" ht="17" hidden="false" customHeight="true" outlineLevel="0" collapsed="false">
      <c r="C362" s="21" t="n">
        <f aca="false">calc!$D$362</f>
        <v>27</v>
      </c>
      <c r="D362" s="21" t="n">
        <f aca="false">calc!$E$362</f>
        <v>12</v>
      </c>
      <c r="E362" s="21" t="n">
        <f aca="false">calc!$K$362</f>
        <v>361</v>
      </c>
      <c r="F362" s="86" t="n">
        <f aca="false">calc!$H$362</f>
        <v>18.1512019481118</v>
      </c>
    </row>
    <row r="363" customFormat="false" ht="17" hidden="false" customHeight="true" outlineLevel="0" collapsed="false">
      <c r="C363" s="21" t="n">
        <f aca="false">calc!$D$363</f>
        <v>28</v>
      </c>
      <c r="D363" s="21" t="n">
        <f aca="false">calc!$E$363</f>
        <v>12</v>
      </c>
      <c r="E363" s="21" t="n">
        <f aca="false">calc!$K$363</f>
        <v>362</v>
      </c>
      <c r="F363" s="86" t="n">
        <f aca="false">calc!$H$363</f>
        <v>27.9565022858738</v>
      </c>
    </row>
    <row r="364" customFormat="false" ht="17" hidden="false" customHeight="true" outlineLevel="0" collapsed="false">
      <c r="C364" s="21" t="n">
        <f aca="false">calc!$D$364</f>
        <v>29</v>
      </c>
      <c r="D364" s="21" t="n">
        <f aca="false">calc!$E$364</f>
        <v>12</v>
      </c>
      <c r="E364" s="21" t="n">
        <f aca="false">calc!$K$364</f>
        <v>363</v>
      </c>
      <c r="F364" s="86" t="n">
        <f aca="false">calc!$H$364</f>
        <v>38.6281375271074</v>
      </c>
    </row>
    <row r="365" customFormat="false" ht="17" hidden="false" customHeight="true" outlineLevel="0" collapsed="false">
      <c r="C365" s="21" t="n">
        <f aca="false">calc!$D$365</f>
        <v>30</v>
      </c>
      <c r="D365" s="21" t="n">
        <f aca="false">calc!$E$365</f>
        <v>12</v>
      </c>
      <c r="E365" s="21" t="n">
        <f aca="false">calc!$K$365</f>
        <v>364</v>
      </c>
      <c r="F365" s="86" t="n">
        <f aca="false">calc!$H$365</f>
        <v>49.5214447448457</v>
      </c>
    </row>
    <row r="366" customFormat="false" ht="17" hidden="false" customHeight="true" outlineLevel="0" collapsed="false">
      <c r="C366" s="21" t="n">
        <f aca="false">calc!$D$366</f>
        <v>31</v>
      </c>
      <c r="D366" s="21" t="n">
        <f aca="false">calc!$E$366</f>
        <v>12</v>
      </c>
      <c r="E366" s="21" t="n">
        <f aca="false">calc!$K$366</f>
        <v>365</v>
      </c>
      <c r="F366" s="86" t="n">
        <f aca="false">calc!$H$366</f>
        <v>60.0973945380835</v>
      </c>
    </row>
    <row r="367" customFormat="false" ht="17" hidden="false" customHeight="true" outlineLevel="0" collapsed="false">
      <c r="C367" s="21" t="n">
        <f aca="false">calc!$D$367</f>
        <v>1</v>
      </c>
      <c r="D367" s="21" t="n">
        <f aca="false">calc!$E$367</f>
        <v>13</v>
      </c>
      <c r="E367" s="21" t="n">
        <f aca="false">calc!$K$367</f>
        <v>366</v>
      </c>
      <c r="F367" s="86" t="n">
        <f aca="false">calc!$H$367</f>
        <v>69.9324768550465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&amp;C&amp;10&amp;Kffffff&amp;A</oddHeader>
    <oddFooter>&amp;C&amp;10&amp;KffffffSeite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3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70" activeCellId="0" sqref="Q70"/>
    </sheetView>
  </sheetViews>
  <sheetFormatPr defaultColWidth="9.625" defaultRowHeight="17" zeroHeight="false" outlineLevelRow="0" outlineLevelCol="0"/>
  <cols>
    <col collapsed="false" customWidth="false" hidden="false" outlineLevel="0" max="1" min="1" style="22" width="9.59"/>
    <col collapsed="false" customWidth="true" hidden="false" outlineLevel="0" max="2" min="2" style="22" width="10.38"/>
    <col collapsed="false" customWidth="true" hidden="false" outlineLevel="0" max="3" min="3" style="21" width="8.12"/>
    <col collapsed="false" customWidth="true" hidden="false" outlineLevel="0" max="4" min="4" style="21" width="8.01"/>
    <col collapsed="false" customWidth="true" hidden="false" outlineLevel="0" max="5" min="5" style="21" width="8.23"/>
    <col collapsed="false" customWidth="false" hidden="false" outlineLevel="0" max="6" min="6" style="89" width="9.59"/>
    <col collapsed="false" customWidth="true" hidden="false" outlineLevel="0" max="7" min="7" style="21" width="9.36"/>
    <col collapsed="false" customWidth="false" hidden="false" outlineLevel="0" max="9" min="8" style="92" width="9.59"/>
    <col collapsed="false" customWidth="false" hidden="false" outlineLevel="0" max="64" min="10" style="22" width="9.59"/>
  </cols>
  <sheetData>
    <row r="1" customFormat="false" ht="17" hidden="false" customHeight="true" outlineLevel="0" collapsed="false">
      <c r="A1" s="40" t="str">
        <f aca="false">illum!$A$1</f>
        <v>UT</v>
      </c>
      <c r="B1" s="40" t="str">
        <f aca="false">illum!$B$1</f>
        <v>Year</v>
      </c>
      <c r="C1" s="11" t="str">
        <f aca="false">calc!$D$1</f>
        <v>Date</v>
      </c>
      <c r="D1" s="11" t="str">
        <f aca="false">calc!$E$1</f>
        <v>Month</v>
      </c>
      <c r="E1" s="11" t="str">
        <f aca="false">calc!$K$1</f>
        <v>Day</v>
      </c>
      <c r="F1" s="81" t="str">
        <f aca="false">calc!$AU$1</f>
        <v>R / km</v>
      </c>
      <c r="G1" s="11" t="str">
        <f aca="false">calc!$AG$1</f>
        <v>DEC</v>
      </c>
      <c r="H1" s="93" t="s">
        <v>72</v>
      </c>
      <c r="I1" s="94" t="s">
        <v>73</v>
      </c>
    </row>
    <row r="2" customFormat="false" ht="17" hidden="false" customHeight="true" outlineLevel="0" collapsed="false">
      <c r="A2" s="82" t="n">
        <f aca="false">illum!$A$2</f>
        <v>0</v>
      </c>
      <c r="B2" s="83" t="n">
        <f aca="false">illum!$B$2</f>
        <v>2022</v>
      </c>
      <c r="C2" s="21" t="n">
        <f aca="false">calc!$D$2</f>
        <v>1</v>
      </c>
      <c r="D2" s="21" t="n">
        <f aca="false">calc!$E$2</f>
        <v>1</v>
      </c>
      <c r="E2" s="21" t="n">
        <f aca="false">calc!$K$2</f>
        <v>1</v>
      </c>
      <c r="F2" s="95" t="n">
        <f aca="false">calc!$AU$2</f>
        <v>358890.617322509</v>
      </c>
      <c r="G2" s="24" t="n">
        <f aca="false">calc!$AG$2</f>
        <v>-23.9286987386465</v>
      </c>
      <c r="H2" s="96" t="n">
        <f aca="false">calc!$AH$2</f>
        <v>16.9406738989116</v>
      </c>
      <c r="I2" s="97" t="n">
        <f aca="false">H2*15</f>
        <v>254.110108483674</v>
      </c>
    </row>
    <row r="3" customFormat="false" ht="17" hidden="false" customHeight="true" outlineLevel="0" collapsed="false">
      <c r="A3" s="79"/>
      <c r="B3" s="79"/>
      <c r="C3" s="21" t="n">
        <f aca="false">calc!$D$3</f>
        <v>2</v>
      </c>
      <c r="D3" s="21" t="n">
        <f aca="false">calc!$E$3</f>
        <v>1</v>
      </c>
      <c r="E3" s="21" t="n">
        <f aca="false">calc!$K$3</f>
        <v>2</v>
      </c>
      <c r="F3" s="95" t="n">
        <f aca="false">calc!$AU$3</f>
        <v>358034.323186647</v>
      </c>
      <c r="G3" s="24" t="n">
        <f aca="false">calc!$AG$3</f>
        <v>-25.9899939301655</v>
      </c>
      <c r="H3" s="96" t="n">
        <f aca="false">calc!$AH$3</f>
        <v>18.0466998676069</v>
      </c>
      <c r="I3" s="97" t="n">
        <f aca="false">H3*15</f>
        <v>270.700498014103</v>
      </c>
    </row>
    <row r="4" customFormat="false" ht="17" hidden="false" customHeight="true" outlineLevel="0" collapsed="false">
      <c r="A4" s="79"/>
      <c r="B4" s="9" t="str">
        <f aca="false">illum!$B$4</f>
        <v>common year</v>
      </c>
      <c r="C4" s="21" t="n">
        <f aca="false">calc!$D$4</f>
        <v>3</v>
      </c>
      <c r="D4" s="21" t="n">
        <f aca="false">calc!$E$4</f>
        <v>1</v>
      </c>
      <c r="E4" s="21" t="n">
        <f aca="false">calc!$K$4</f>
        <v>3</v>
      </c>
      <c r="F4" s="95" t="n">
        <f aca="false">calc!$AU$4</f>
        <v>359079.098953901</v>
      </c>
      <c r="G4" s="24" t="n">
        <f aca="false">calc!$AG$4</f>
        <v>-26.1186487668042</v>
      </c>
      <c r="H4" s="96" t="n">
        <f aca="false">calc!$AH$4</f>
        <v>19.1724642862342</v>
      </c>
      <c r="I4" s="97" t="n">
        <f aca="false">H4*15</f>
        <v>287.586964293513</v>
      </c>
    </row>
    <row r="5" customFormat="false" ht="17" hidden="false" customHeight="true" outlineLevel="0" collapsed="false">
      <c r="C5" s="21" t="n">
        <f aca="false">calc!$D$5</f>
        <v>4</v>
      </c>
      <c r="D5" s="21" t="n">
        <f aca="false">calc!$E$5</f>
        <v>1</v>
      </c>
      <c r="E5" s="21" t="n">
        <f aca="false">calc!$K$5</f>
        <v>4</v>
      </c>
      <c r="F5" s="95" t="n">
        <f aca="false">calc!$AU$5</f>
        <v>361965.133281612</v>
      </c>
      <c r="G5" s="24" t="n">
        <f aca="false">calc!$AG$5</f>
        <v>-24.3330605903099</v>
      </c>
      <c r="H5" s="96" t="n">
        <f aca="false">calc!$AH$5</f>
        <v>20.2699028482094</v>
      </c>
      <c r="I5" s="97" t="n">
        <f aca="false">H5*15</f>
        <v>304.048542723141</v>
      </c>
    </row>
    <row r="6" customFormat="false" ht="17" hidden="false" customHeight="true" outlineLevel="0" collapsed="false">
      <c r="A6" s="87" t="s">
        <v>70</v>
      </c>
      <c r="C6" s="21" t="n">
        <f aca="false">calc!$D$6</f>
        <v>5</v>
      </c>
      <c r="D6" s="21" t="n">
        <f aca="false">calc!$E$6</f>
        <v>1</v>
      </c>
      <c r="E6" s="21" t="n">
        <f aca="false">calc!$K$6</f>
        <v>5</v>
      </c>
      <c r="F6" s="95" t="n">
        <f aca="false">calc!$AU$6</f>
        <v>366418.562042338</v>
      </c>
      <c r="G6" s="24" t="n">
        <f aca="false">calc!$AG$6</f>
        <v>-20.9279943779164</v>
      </c>
      <c r="H6" s="96" t="n">
        <f aca="false">calc!$AH$6</f>
        <v>21.3017574434582</v>
      </c>
      <c r="I6" s="97" t="n">
        <f aca="false">H6*15</f>
        <v>319.526361651873</v>
      </c>
    </row>
    <row r="7" customFormat="false" ht="17" hidden="false" customHeight="true" outlineLevel="0" collapsed="false">
      <c r="A7" s="88" t="s">
        <v>71</v>
      </c>
      <c r="C7" s="21" t="n">
        <f aca="false">calc!$D$7</f>
        <v>6</v>
      </c>
      <c r="D7" s="21" t="n">
        <f aca="false">calc!$E$7</f>
        <v>1</v>
      </c>
      <c r="E7" s="21" t="n">
        <f aca="false">calc!$K$7</f>
        <v>6</v>
      </c>
      <c r="F7" s="95" t="n">
        <f aca="false">calc!$AU$7</f>
        <v>372003.09731646</v>
      </c>
      <c r="G7" s="24" t="n">
        <f aca="false">calc!$AG$7</f>
        <v>-16.3478810668919</v>
      </c>
      <c r="H7" s="96" t="n">
        <f aca="false">calc!$AH$7</f>
        <v>22.2528844135539</v>
      </c>
      <c r="I7" s="97" t="n">
        <f aca="false">H7*15</f>
        <v>333.793266203309</v>
      </c>
    </row>
    <row r="8" customFormat="false" ht="17" hidden="false" customHeight="true" outlineLevel="0" collapsed="false">
      <c r="C8" s="21" t="n">
        <f aca="false">calc!$D$8</f>
        <v>7</v>
      </c>
      <c r="D8" s="21" t="n">
        <f aca="false">calc!$E$8</f>
        <v>1</v>
      </c>
      <c r="E8" s="21" t="n">
        <f aca="false">calc!$K$8</f>
        <v>7</v>
      </c>
      <c r="F8" s="95" t="n">
        <f aca="false">calc!$AU$8</f>
        <v>378198.746404514</v>
      </c>
      <c r="G8" s="24" t="n">
        <f aca="false">calc!$AG$8</f>
        <v>-11.0470560208907</v>
      </c>
      <c r="H8" s="96" t="n">
        <f aca="false">calc!$AH$8</f>
        <v>23.1276869036968</v>
      </c>
      <c r="I8" s="97" t="n">
        <f aca="false">H8*15</f>
        <v>346.915303555453</v>
      </c>
    </row>
    <row r="9" customFormat="false" ht="17" hidden="false" customHeight="true" outlineLevel="0" collapsed="false">
      <c r="C9" s="21" t="n">
        <f aca="false">calc!$D$9</f>
        <v>8</v>
      </c>
      <c r="D9" s="21" t="n">
        <f aca="false">calc!$E$9</f>
        <v>1</v>
      </c>
      <c r="E9" s="21" t="n">
        <f aca="false">calc!$K$9</f>
        <v>8</v>
      </c>
      <c r="F9" s="95" t="n">
        <f aca="false">calc!$AU$9</f>
        <v>384483.215702744</v>
      </c>
      <c r="G9" s="24" t="n">
        <f aca="false">calc!$AG$9</f>
        <v>-5.40893675347001</v>
      </c>
      <c r="H9" s="96" t="n">
        <f aca="false">calc!$AH$9</f>
        <v>23.9415774819765</v>
      </c>
      <c r="I9" s="97" t="n">
        <f aca="false">H9*15</f>
        <v>359.123662229648</v>
      </c>
    </row>
    <row r="10" customFormat="false" ht="17" hidden="false" customHeight="true" outlineLevel="0" collapsed="false">
      <c r="C10" s="21" t="n">
        <f aca="false">calc!$D$10</f>
        <v>9</v>
      </c>
      <c r="D10" s="21" t="n">
        <f aca="false">calc!$E$10</f>
        <v>1</v>
      </c>
      <c r="E10" s="21" t="n">
        <f aca="false">calc!$K$10</f>
        <v>9</v>
      </c>
      <c r="F10" s="95" t="n">
        <f aca="false">calc!$AU$10</f>
        <v>390396.226734294</v>
      </c>
      <c r="G10" s="24" t="n">
        <f aca="false">calc!$AG$10</f>
        <v>0.273298080054201</v>
      </c>
      <c r="H10" s="96" t="n">
        <f aca="false">calc!$AH$10</f>
        <v>0.713908702166909</v>
      </c>
      <c r="I10" s="97" t="n">
        <f aca="false">H10*15</f>
        <v>10.7086305325036</v>
      </c>
    </row>
    <row r="11" customFormat="false" ht="17" hidden="false" customHeight="true" outlineLevel="0" collapsed="false">
      <c r="C11" s="21" t="n">
        <f aca="false">calc!$D$11</f>
        <v>10</v>
      </c>
      <c r="D11" s="21" t="n">
        <f aca="false">calc!$E$11</f>
        <v>1</v>
      </c>
      <c r="E11" s="21" t="n">
        <f aca="false">calc!$K$11</f>
        <v>10</v>
      </c>
      <c r="F11" s="95" t="n">
        <f aca="false">calc!$AU$11</f>
        <v>395578.138823575</v>
      </c>
      <c r="G11" s="24" t="n">
        <f aca="false">calc!$AG$11</f>
        <v>5.78111943704923</v>
      </c>
      <c r="H11" s="96" t="n">
        <f aca="false">calc!$AH$11</f>
        <v>1.46416254085125</v>
      </c>
      <c r="I11" s="97" t="n">
        <f aca="false">H11*15</f>
        <v>21.9624381127687</v>
      </c>
    </row>
    <row r="12" customFormat="false" ht="17" hidden="false" customHeight="true" outlineLevel="0" collapsed="false">
      <c r="C12" s="21" t="n">
        <f aca="false">calc!$D$12</f>
        <v>11</v>
      </c>
      <c r="D12" s="21" t="n">
        <f aca="false">calc!$E$12</f>
        <v>1</v>
      </c>
      <c r="E12" s="21" t="n">
        <f aca="false">calc!$K$12</f>
        <v>11</v>
      </c>
      <c r="F12" s="95" t="n">
        <f aca="false">calc!$AU$12</f>
        <v>399784.774086755</v>
      </c>
      <c r="G12" s="24" t="n">
        <f aca="false">calc!$AG$12</f>
        <v>10.9429570004239</v>
      </c>
      <c r="H12" s="96" t="n">
        <f aca="false">calc!$AH$12</f>
        <v>2.21031806333381</v>
      </c>
      <c r="I12" s="97" t="n">
        <f aca="false">H12*15</f>
        <v>33.1547709500072</v>
      </c>
    </row>
    <row r="13" customFormat="false" ht="17" hidden="false" customHeight="true" outlineLevel="0" collapsed="false">
      <c r="C13" s="21" t="n">
        <f aca="false">calc!$D$13</f>
        <v>12</v>
      </c>
      <c r="D13" s="21" t="n">
        <f aca="false">calc!$E$13</f>
        <v>1</v>
      </c>
      <c r="E13" s="21" t="n">
        <f aca="false">calc!$K$13</f>
        <v>12</v>
      </c>
      <c r="F13" s="95" t="n">
        <f aca="false">calc!$AU$13</f>
        <v>402885.378207332</v>
      </c>
      <c r="G13" s="24" t="n">
        <f aca="false">calc!$AG$13</f>
        <v>15.6072600477609</v>
      </c>
      <c r="H13" s="96" t="n">
        <f aca="false">calc!$AH$13</f>
        <v>2.96803871975576</v>
      </c>
      <c r="I13" s="97" t="n">
        <f aca="false">H13*15</f>
        <v>44.5205807963364</v>
      </c>
    </row>
    <row r="14" customFormat="false" ht="17" hidden="false" customHeight="true" outlineLevel="0" collapsed="false">
      <c r="C14" s="21" t="n">
        <f aca="false">calc!$D$14</f>
        <v>13</v>
      </c>
      <c r="D14" s="21" t="n">
        <f aca="false">calc!$E$14</f>
        <v>1</v>
      </c>
      <c r="E14" s="21" t="n">
        <f aca="false">calc!$K$14</f>
        <v>13</v>
      </c>
      <c r="F14" s="95" t="n">
        <f aca="false">calc!$AU$14</f>
        <v>404850.223099845</v>
      </c>
      <c r="G14" s="24" t="n">
        <f aca="false">calc!$AG$14</f>
        <v>19.6229051248746</v>
      </c>
      <c r="H14" s="96" t="n">
        <f aca="false">calc!$AH$14</f>
        <v>3.74978652475704</v>
      </c>
      <c r="I14" s="97" t="n">
        <f aca="false">H14*15</f>
        <v>56.2467978713556</v>
      </c>
    </row>
    <row r="15" customFormat="false" ht="17" hidden="false" customHeight="true" outlineLevel="0" collapsed="false">
      <c r="C15" s="21" t="n">
        <f aca="false">calc!$D$15</f>
        <v>14</v>
      </c>
      <c r="D15" s="21" t="n">
        <f aca="false">calc!$E$15</f>
        <v>1</v>
      </c>
      <c r="E15" s="21" t="n">
        <f aca="false">calc!$K$15</f>
        <v>14</v>
      </c>
      <c r="F15" s="95" t="n">
        <f aca="false">calc!$AU$15</f>
        <v>405731.720997716</v>
      </c>
      <c r="G15" s="24" t="n">
        <f aca="false">calc!$AG$15</f>
        <v>22.8308400660138</v>
      </c>
      <c r="H15" s="96" t="n">
        <f aca="false">calc!$AH$15</f>
        <v>4.5634601327267</v>
      </c>
      <c r="I15" s="97" t="n">
        <f aca="false">H15*15</f>
        <v>68.4519019909005</v>
      </c>
    </row>
    <row r="16" customFormat="false" ht="17" hidden="false" customHeight="true" outlineLevel="0" collapsed="false">
      <c r="C16" s="21" t="n">
        <f aca="false">calc!$D$16</f>
        <v>15</v>
      </c>
      <c r="D16" s="21" t="n">
        <f aca="false">calc!$E$16</f>
        <v>1</v>
      </c>
      <c r="E16" s="21" t="n">
        <f aca="false">calc!$K$16</f>
        <v>15</v>
      </c>
      <c r="F16" s="95" t="n">
        <f aca="false">calc!$AU$16</f>
        <v>405641.187860336</v>
      </c>
      <c r="G16" s="24" t="n">
        <f aca="false">calc!$AG$16</f>
        <v>25.0695452415487</v>
      </c>
      <c r="H16" s="96" t="n">
        <f aca="false">calc!$AH$16</f>
        <v>5.41069423467987</v>
      </c>
      <c r="I16" s="97" t="n">
        <f aca="false">H16*15</f>
        <v>81.160413520198</v>
      </c>
    </row>
    <row r="17" customFormat="false" ht="17" hidden="false" customHeight="true" outlineLevel="0" collapsed="false">
      <c r="C17" s="21" t="n">
        <f aca="false">calc!$D$17</f>
        <v>16</v>
      </c>
      <c r="D17" s="21" t="n">
        <f aca="false">calc!$E$17</f>
        <v>1</v>
      </c>
      <c r="E17" s="21" t="n">
        <f aca="false">calc!$K$17</f>
        <v>16</v>
      </c>
      <c r="F17" s="95" t="n">
        <f aca="false">calc!$AU$17</f>
        <v>404723.385299427</v>
      </c>
      <c r="G17" s="24" t="n">
        <f aca="false">calc!$AG$17</f>
        <v>26.1945635121918</v>
      </c>
      <c r="H17" s="96" t="n">
        <f aca="false">calc!$AH$17</f>
        <v>6.28564362624409</v>
      </c>
      <c r="I17" s="97" t="n">
        <f aca="false">H17*15</f>
        <v>94.2846543936614</v>
      </c>
    </row>
    <row r="18" customFormat="false" ht="17" hidden="false" customHeight="true" outlineLevel="0" collapsed="false">
      <c r="C18" s="21" t="n">
        <f aca="false">calc!$D$18</f>
        <v>17</v>
      </c>
      <c r="D18" s="21" t="n">
        <f aca="false">calc!$E$18</f>
        <v>1</v>
      </c>
      <c r="E18" s="21" t="n">
        <f aca="false">calc!$K$18</f>
        <v>17</v>
      </c>
      <c r="F18" s="95" t="n">
        <f aca="false">calc!$AU$18</f>
        <v>403131.623443367</v>
      </c>
      <c r="G18" s="24" t="n">
        <f aca="false">calc!$AG$18</f>
        <v>26.1071324918451</v>
      </c>
      <c r="H18" s="96" t="n">
        <f aca="false">calc!$AH$18</f>
        <v>7.17556816417077</v>
      </c>
      <c r="I18" s="97" t="n">
        <f aca="false">H18*15</f>
        <v>107.633522462562</v>
      </c>
    </row>
    <row r="19" customFormat="false" ht="17" hidden="false" customHeight="true" outlineLevel="0" collapsed="false">
      <c r="C19" s="21" t="n">
        <f aca="false">calc!$D$19</f>
        <v>18</v>
      </c>
      <c r="D19" s="21" t="n">
        <f aca="false">calc!$E$19</f>
        <v>1</v>
      </c>
      <c r="E19" s="21" t="n">
        <f aca="false">calc!$K$19</f>
        <v>18</v>
      </c>
      <c r="F19" s="95" t="n">
        <f aca="false">calc!$AU$19</f>
        <v>401006.369246658</v>
      </c>
      <c r="G19" s="24" t="n">
        <f aca="false">calc!$AG$19</f>
        <v>24.7803795684378</v>
      </c>
      <c r="H19" s="96" t="n">
        <f aca="false">calc!$AH$19</f>
        <v>8.06403635303992</v>
      </c>
      <c r="I19" s="97" t="n">
        <f aca="false">H19*15</f>
        <v>120.960545295599</v>
      </c>
    </row>
    <row r="20" customFormat="false" ht="17" hidden="false" customHeight="true" outlineLevel="0" collapsed="false">
      <c r="C20" s="21" t="n">
        <f aca="false">calc!$D$20</f>
        <v>19</v>
      </c>
      <c r="D20" s="21" t="n">
        <f aca="false">calc!$E$20</f>
        <v>1</v>
      </c>
      <c r="E20" s="21" t="n">
        <f aca="false">calc!$K$20</f>
        <v>19</v>
      </c>
      <c r="F20" s="95" t="n">
        <f aca="false">calc!$AU$20</f>
        <v>398459.834597859</v>
      </c>
      <c r="G20" s="24" t="n">
        <f aca="false">calc!$AG$20</f>
        <v>22.2699384443496</v>
      </c>
      <c r="H20" s="96" t="n">
        <f aca="false">calc!$AH$20</f>
        <v>8.93587666125361</v>
      </c>
      <c r="I20" s="97" t="n">
        <f aca="false">H20*15</f>
        <v>134.038149918804</v>
      </c>
    </row>
    <row r="21" customFormat="false" ht="17" hidden="false" customHeight="true" outlineLevel="0" collapsed="false">
      <c r="C21" s="21" t="n">
        <f aca="false">calc!$D$21</f>
        <v>20</v>
      </c>
      <c r="D21" s="21" t="n">
        <f aca="false">calc!$E$21</f>
        <v>1</v>
      </c>
      <c r="E21" s="21" t="n">
        <f aca="false">calc!$K$21</f>
        <v>20</v>
      </c>
      <c r="F21" s="95" t="n">
        <f aca="false">calc!$AU$21</f>
        <v>395568.414456369</v>
      </c>
      <c r="G21" s="24" t="n">
        <f aca="false">calc!$AG$21</f>
        <v>18.7038347627967</v>
      </c>
      <c r="H21" s="96" t="n">
        <f aca="false">calc!$AH$21</f>
        <v>9.78157984536867</v>
      </c>
      <c r="I21" s="97" t="n">
        <f aca="false">H21*15</f>
        <v>146.72369768053</v>
      </c>
    </row>
    <row r="22" customFormat="false" ht="17" hidden="false" customHeight="true" outlineLevel="0" collapsed="false">
      <c r="C22" s="21" t="n">
        <f aca="false">calc!$D$22</f>
        <v>21</v>
      </c>
      <c r="D22" s="21" t="n">
        <f aca="false">calc!$E$22</f>
        <v>1</v>
      </c>
      <c r="E22" s="21" t="n">
        <f aca="false">calc!$K$22</f>
        <v>21</v>
      </c>
      <c r="F22" s="95" t="n">
        <f aca="false">calc!$AU$22</f>
        <v>392374.303167211</v>
      </c>
      <c r="G22" s="24" t="n">
        <f aca="false">calc!$AG$22</f>
        <v>14.2586247547136</v>
      </c>
      <c r="H22" s="96" t="n">
        <f aca="false">calc!$AH$22</f>
        <v>10.5993360689046</v>
      </c>
      <c r="I22" s="97" t="n">
        <f aca="false">H22*15</f>
        <v>158.990041033569</v>
      </c>
    </row>
    <row r="23" customFormat="false" ht="17" hidden="false" customHeight="true" outlineLevel="0" collapsed="false">
      <c r="C23" s="21" t="n">
        <f aca="false">calc!$D$23</f>
        <v>22</v>
      </c>
      <c r="D23" s="21" t="n">
        <f aca="false">calc!$E$23</f>
        <v>1</v>
      </c>
      <c r="E23" s="21" t="n">
        <f aca="false">calc!$K$23</f>
        <v>22</v>
      </c>
      <c r="F23" s="95" t="n">
        <f aca="false">calc!$AU$23</f>
        <v>388896.770711802</v>
      </c>
      <c r="G23" s="24" t="n">
        <f aca="false">calc!$AG$23</f>
        <v>9.13473900511407</v>
      </c>
      <c r="H23" s="96" t="n">
        <f aca="false">calc!$AH$23</f>
        <v>11.3946932571099</v>
      </c>
      <c r="I23" s="97" t="n">
        <f aca="false">H23*15</f>
        <v>170.920398856649</v>
      </c>
    </row>
    <row r="24" customFormat="false" ht="17" hidden="false" customHeight="true" outlineLevel="0" collapsed="false">
      <c r="C24" s="21" t="n">
        <f aca="false">calc!$D$24</f>
        <v>23</v>
      </c>
      <c r="D24" s="21" t="n">
        <f aca="false">calc!$E$24</f>
        <v>1</v>
      </c>
      <c r="E24" s="21" t="n">
        <f aca="false">calc!$K$24</f>
        <v>23</v>
      </c>
      <c r="F24" s="95" t="n">
        <f aca="false">calc!$AU$24</f>
        <v>385152.082404778</v>
      </c>
      <c r="G24" s="24" t="n">
        <f aca="false">calc!$AG$24</f>
        <v>3.54123725358077</v>
      </c>
      <c r="H24" s="96" t="n">
        <f aca="false">calc!$AH$24</f>
        <v>12.1790257832262</v>
      </c>
      <c r="I24" s="97" t="n">
        <f aca="false">H24*15</f>
        <v>182.685386748393</v>
      </c>
    </row>
    <row r="25" customFormat="false" ht="17" hidden="false" customHeight="true" outlineLevel="0" collapsed="false">
      <c r="C25" s="21" t="n">
        <f aca="false">calc!$D$25</f>
        <v>24</v>
      </c>
      <c r="D25" s="21" t="n">
        <f aca="false">calc!$E$25</f>
        <v>1</v>
      </c>
      <c r="E25" s="21" t="n">
        <f aca="false">calc!$K$25</f>
        <v>24</v>
      </c>
      <c r="F25" s="95" t="n">
        <f aca="false">calc!$AU$25</f>
        <v>381179.098641182</v>
      </c>
      <c r="G25" s="24" t="n">
        <f aca="false">calc!$AG$25</f>
        <v>-2.30579383837886</v>
      </c>
      <c r="H25" s="96" t="n">
        <f aca="false">calc!$AH$25</f>
        <v>12.9679003420397</v>
      </c>
      <c r="I25" s="97" t="n">
        <f aca="false">H25*15</f>
        <v>194.518505130596</v>
      </c>
    </row>
    <row r="26" customFormat="false" ht="17" hidden="false" customHeight="true" outlineLevel="0" collapsed="false">
      <c r="C26" s="21" t="n">
        <f aca="false">calc!$D$26</f>
        <v>25</v>
      </c>
      <c r="D26" s="21" t="n">
        <f aca="false">calc!$E$26</f>
        <v>1</v>
      </c>
      <c r="E26" s="21" t="n">
        <f aca="false">calc!$K$26</f>
        <v>25</v>
      </c>
      <c r="F26" s="95" t="n">
        <f aca="false">calc!$AU$26</f>
        <v>377065.747861356</v>
      </c>
      <c r="G26" s="24" t="n">
        <f aca="false">calc!$AG$26</f>
        <v>-8.17166791155151</v>
      </c>
      <c r="H26" s="96" t="n">
        <f aca="false">calc!$AH$26</f>
        <v>13.7796677116277</v>
      </c>
      <c r="I26" s="97" t="n">
        <f aca="false">H26*15</f>
        <v>206.695015674415</v>
      </c>
    </row>
    <row r="27" customFormat="false" ht="17" hidden="false" customHeight="true" outlineLevel="0" collapsed="false">
      <c r="C27" s="21" t="n">
        <f aca="false">calc!$D$27</f>
        <v>26</v>
      </c>
      <c r="D27" s="21" t="n">
        <f aca="false">calc!$E$27</f>
        <v>1</v>
      </c>
      <c r="E27" s="21" t="n">
        <f aca="false">calc!$K$27</f>
        <v>26</v>
      </c>
      <c r="F27" s="95" t="n">
        <f aca="false">calc!$AU$27</f>
        <v>372970.174551499</v>
      </c>
      <c r="G27" s="24" t="n">
        <f aca="false">calc!$AG$27</f>
        <v>-13.7824637653533</v>
      </c>
      <c r="H27" s="96" t="n">
        <f aca="false">calc!$AH$27</f>
        <v>14.6338415978826</v>
      </c>
      <c r="I27" s="97" t="n">
        <f aca="false">H27*15</f>
        <v>219.50762396824</v>
      </c>
    </row>
    <row r="28" customFormat="false" ht="17" hidden="false" customHeight="true" outlineLevel="0" collapsed="false">
      <c r="C28" s="21" t="n">
        <f aca="false">calc!$D$28</f>
        <v>27</v>
      </c>
      <c r="D28" s="21" t="n">
        <f aca="false">calc!$E$28</f>
        <v>1</v>
      </c>
      <c r="E28" s="21" t="n">
        <f aca="false">calc!$K$28</f>
        <v>27</v>
      </c>
      <c r="F28" s="95" t="n">
        <f aca="false">calc!$AU$28</f>
        <v>369129.5511636</v>
      </c>
      <c r="G28" s="24" t="n">
        <f aca="false">calc!$AG$28</f>
        <v>-18.8046039296075</v>
      </c>
      <c r="H28" s="96" t="n">
        <f aca="false">calc!$AH$28</f>
        <v>15.5482307892767</v>
      </c>
      <c r="I28" s="97" t="n">
        <f aca="false">H28*15</f>
        <v>233.223461839151</v>
      </c>
    </row>
    <row r="29" customFormat="false" ht="17" hidden="false" customHeight="true" outlineLevel="0" collapsed="false">
      <c r="C29" s="21" t="n">
        <f aca="false">calc!$D$29</f>
        <v>28</v>
      </c>
      <c r="D29" s="21" t="n">
        <f aca="false">calc!$E$29</f>
        <v>1</v>
      </c>
      <c r="E29" s="21" t="n">
        <f aca="false">calc!$K$29</f>
        <v>28</v>
      </c>
      <c r="F29" s="95" t="n">
        <f aca="false">calc!$AU$29</f>
        <v>365849.847432053</v>
      </c>
      <c r="G29" s="24" t="n">
        <f aca="false">calc!$AG$29</f>
        <v>-22.8422497217802</v>
      </c>
      <c r="H29" s="96" t="n">
        <f aca="false">calc!$AH$29</f>
        <v>16.5336305562312</v>
      </c>
      <c r="I29" s="97" t="n">
        <f aca="false">H29*15</f>
        <v>248.004458343467</v>
      </c>
    </row>
    <row r="30" customFormat="false" ht="17" hidden="false" customHeight="true" outlineLevel="0" collapsed="false">
      <c r="C30" s="21" t="n">
        <f aca="false">calc!$D$30</f>
        <v>29</v>
      </c>
      <c r="D30" s="21" t="n">
        <f aca="false">calc!$E$30</f>
        <v>1</v>
      </c>
      <c r="E30" s="21" t="n">
        <f aca="false">calc!$K$30</f>
        <v>29</v>
      </c>
      <c r="F30" s="95" t="n">
        <f aca="false">calc!$AU$30</f>
        <v>363472.52544914</v>
      </c>
      <c r="G30" s="24" t="n">
        <f aca="false">calc!$AG$30</f>
        <v>-25.4775246333731</v>
      </c>
      <c r="H30" s="96" t="n">
        <f aca="false">calc!$AH$30</f>
        <v>17.5862247796288</v>
      </c>
      <c r="I30" s="97" t="n">
        <f aca="false">H30*15</f>
        <v>263.793371694431</v>
      </c>
    </row>
    <row r="31" customFormat="false" ht="17" hidden="false" customHeight="true" outlineLevel="0" collapsed="false">
      <c r="C31" s="21" t="n">
        <f aca="false">calc!$D$31</f>
        <v>30</v>
      </c>
      <c r="D31" s="21" t="n">
        <f aca="false">calc!$E$31</f>
        <v>1</v>
      </c>
      <c r="E31" s="21" t="n">
        <f aca="false">calc!$K$31</f>
        <v>30</v>
      </c>
      <c r="F31" s="95" t="n">
        <f aca="false">calc!$AU$31</f>
        <v>362320.163753402</v>
      </c>
      <c r="G31" s="24" t="n">
        <f aca="false">calc!$AG$31</f>
        <v>-26.3683734699059</v>
      </c>
      <c r="H31" s="96" t="n">
        <f aca="false">calc!$AH$31</f>
        <v>18.6818691331837</v>
      </c>
      <c r="I31" s="97" t="n">
        <f aca="false">H31*15</f>
        <v>280.228036997755</v>
      </c>
    </row>
    <row r="32" customFormat="false" ht="17" hidden="false" customHeight="true" outlineLevel="0" collapsed="false">
      <c r="C32" s="21" t="n">
        <f aca="false">calc!$D$32</f>
        <v>31</v>
      </c>
      <c r="D32" s="21" t="n">
        <f aca="false">calc!$E$32</f>
        <v>1</v>
      </c>
      <c r="E32" s="21" t="n">
        <f aca="false">calc!$K$32</f>
        <v>31</v>
      </c>
      <c r="F32" s="95" t="n">
        <f aca="false">calc!$AU$32</f>
        <v>362631.384391472</v>
      </c>
      <c r="G32" s="24" t="n">
        <f aca="false">calc!$AG$32</f>
        <v>-25.3724033643202</v>
      </c>
      <c r="H32" s="96" t="n">
        <f aca="false">calc!$AH$32</f>
        <v>19.7799369901881</v>
      </c>
      <c r="I32" s="97" t="n">
        <f aca="false">H32*15</f>
        <v>296.699054852822</v>
      </c>
    </row>
    <row r="33" customFormat="false" ht="17" hidden="false" customHeight="true" outlineLevel="0" collapsed="false">
      <c r="C33" s="21" t="n">
        <f aca="false">calc!$D$33</f>
        <v>1</v>
      </c>
      <c r="D33" s="21" t="n">
        <f aca="false">calc!$E$33</f>
        <v>2</v>
      </c>
      <c r="E33" s="21" t="n">
        <f aca="false">calc!$K$33</f>
        <v>32</v>
      </c>
      <c r="F33" s="95" t="n">
        <f aca="false">calc!$AU$33</f>
        <v>364502.452044508</v>
      </c>
      <c r="G33" s="24" t="n">
        <f aca="false">calc!$AG$33</f>
        <v>-22.6135172377863</v>
      </c>
      <c r="H33" s="96" t="n">
        <f aca="false">calc!$AH$33</f>
        <v>20.8386819888885</v>
      </c>
      <c r="I33" s="97" t="n">
        <f aca="false">H33*15</f>
        <v>312.580229833328</v>
      </c>
    </row>
    <row r="34" customFormat="false" ht="17" hidden="false" customHeight="true" outlineLevel="0" collapsed="false">
      <c r="C34" s="21" t="n">
        <f aca="false">calc!$D$34</f>
        <v>2</v>
      </c>
      <c r="D34" s="21" t="n">
        <f aca="false">calc!$E$34</f>
        <v>2</v>
      </c>
      <c r="E34" s="21" t="n">
        <f aca="false">calc!$K$34</f>
        <v>33</v>
      </c>
      <c r="F34" s="95" t="n">
        <f aca="false">calc!$AU$34</f>
        <v>367853.923071053</v>
      </c>
      <c r="G34" s="24" t="n">
        <f aca="false">calc!$AG$34</f>
        <v>-18.4351578649839</v>
      </c>
      <c r="H34" s="96" t="n">
        <f aca="false">calc!$AH$34</f>
        <v>21.8313118732768</v>
      </c>
      <c r="I34" s="97" t="n">
        <f aca="false">H34*15</f>
        <v>327.469678099152</v>
      </c>
    </row>
    <row r="35" customFormat="false" ht="17" hidden="false" customHeight="true" outlineLevel="0" collapsed="false">
      <c r="C35" s="21" t="n">
        <f aca="false">calc!$D$35</f>
        <v>3</v>
      </c>
      <c r="D35" s="21" t="n">
        <f aca="false">calc!$E$35</f>
        <v>2</v>
      </c>
      <c r="E35" s="21" t="n">
        <f aca="false">calc!$K$35</f>
        <v>34</v>
      </c>
      <c r="F35" s="95" t="n">
        <f aca="false">calc!$AU$35</f>
        <v>372433.640172521</v>
      </c>
      <c r="G35" s="24" t="n">
        <f aca="false">calc!$AG$35</f>
        <v>-13.28064458891</v>
      </c>
      <c r="H35" s="96" t="n">
        <f aca="false">calc!$AH$35</f>
        <v>22.7511011305351</v>
      </c>
      <c r="I35" s="97" t="n">
        <f aca="false">H35*15</f>
        <v>341.266516958026</v>
      </c>
    </row>
    <row r="36" customFormat="false" ht="17" hidden="false" customHeight="true" outlineLevel="0" collapsed="false">
      <c r="C36" s="21" t="n">
        <f aca="false">calc!$D$36</f>
        <v>4</v>
      </c>
      <c r="D36" s="21" t="n">
        <f aca="false">calc!$E$36</f>
        <v>2</v>
      </c>
      <c r="E36" s="21" t="n">
        <f aca="false">calc!$K$36</f>
        <v>35</v>
      </c>
      <c r="F36" s="95" t="n">
        <f aca="false">calc!$AU$36</f>
        <v>377854.858649853</v>
      </c>
      <c r="G36" s="24" t="n">
        <f aca="false">calc!$AG$36</f>
        <v>-7.58366444338218</v>
      </c>
      <c r="H36" s="96" t="n">
        <f aca="false">calc!$AH$36</f>
        <v>23.6063656840745</v>
      </c>
      <c r="I36" s="97" t="n">
        <f aca="false">H36*15</f>
        <v>354.095485261118</v>
      </c>
    </row>
    <row r="37" customFormat="false" ht="17" hidden="false" customHeight="true" outlineLevel="0" collapsed="false">
      <c r="C37" s="21" t="n">
        <f aca="false">calc!$D$37</f>
        <v>5</v>
      </c>
      <c r="D37" s="21" t="n">
        <f aca="false">calc!$E$37</f>
        <v>2</v>
      </c>
      <c r="E37" s="21" t="n">
        <f aca="false">calc!$K$37</f>
        <v>36</v>
      </c>
      <c r="F37" s="95" t="n">
        <f aca="false">calc!$AU$37</f>
        <v>383656.626626531</v>
      </c>
      <c r="G37" s="24" t="n">
        <f aca="false">calc!$AG$37</f>
        <v>-1.71024867060972</v>
      </c>
      <c r="H37" s="96" t="n">
        <f aca="false">calc!$AH$37</f>
        <v>0.412976262498666</v>
      </c>
      <c r="I37" s="97" t="n">
        <f aca="false">H37*15</f>
        <v>6.19464393747999</v>
      </c>
    </row>
    <row r="38" customFormat="false" ht="17" hidden="false" customHeight="true" outlineLevel="0" collapsed="false">
      <c r="C38" s="21" t="n">
        <f aca="false">calc!$D$38</f>
        <v>6</v>
      </c>
      <c r="D38" s="21" t="n">
        <f aca="false">calc!$E$38</f>
        <v>2</v>
      </c>
      <c r="E38" s="21" t="n">
        <f aca="false">calc!$K$38</f>
        <v>37</v>
      </c>
      <c r="F38" s="95" t="n">
        <f aca="false">calc!$AU$38</f>
        <v>389368.535430523</v>
      </c>
      <c r="G38" s="24" t="n">
        <f aca="false">calc!$AG$38</f>
        <v>4.05375944284147</v>
      </c>
      <c r="H38" s="96" t="n">
        <f aca="false">calc!$AH$38</f>
        <v>1.1890592411861</v>
      </c>
      <c r="I38" s="97" t="n">
        <f aca="false">H38*15</f>
        <v>17.8358886177915</v>
      </c>
    </row>
    <row r="39" customFormat="false" ht="17" hidden="false" customHeight="true" outlineLevel="0" collapsed="false">
      <c r="C39" s="21" t="n">
        <f aca="false">calc!$D$39</f>
        <v>7</v>
      </c>
      <c r="D39" s="21" t="n">
        <f aca="false">calc!$E$39</f>
        <v>2</v>
      </c>
      <c r="E39" s="21" t="n">
        <f aca="false">calc!$K$39</f>
        <v>38</v>
      </c>
      <c r="F39" s="95" t="n">
        <f aca="false">calc!$AU$39</f>
        <v>394565.090181077</v>
      </c>
      <c r="G39" s="24" t="n">
        <f aca="false">calc!$AG$39</f>
        <v>9.48970645677353</v>
      </c>
      <c r="H39" s="96" t="n">
        <f aca="false">calc!$AH$39</f>
        <v>1.95230011425496</v>
      </c>
      <c r="I39" s="97" t="n">
        <f aca="false">H39*15</f>
        <v>29.2845017138244</v>
      </c>
    </row>
    <row r="40" customFormat="false" ht="17" hidden="false" customHeight="true" outlineLevel="0" collapsed="false">
      <c r="C40" s="21" t="n">
        <f aca="false">calc!$D$40</f>
        <v>8</v>
      </c>
      <c r="D40" s="21" t="n">
        <f aca="false">calc!$E$40</f>
        <v>2</v>
      </c>
      <c r="E40" s="21" t="n">
        <f aca="false">calc!$K$40</f>
        <v>39</v>
      </c>
      <c r="F40" s="95" t="n">
        <f aca="false">calc!$AU$40</f>
        <v>398902.798076651</v>
      </c>
      <c r="G40" s="24" t="n">
        <f aca="false">calc!$AG$40</f>
        <v>14.4232997932972</v>
      </c>
      <c r="H40" s="96" t="n">
        <f aca="false">calc!$AH$40</f>
        <v>2.71869387000451</v>
      </c>
      <c r="I40" s="97" t="n">
        <f aca="false">H40*15</f>
        <v>40.7804080500677</v>
      </c>
    </row>
    <row r="41" customFormat="false" ht="17" hidden="false" customHeight="true" outlineLevel="0" collapsed="false">
      <c r="C41" s="21" t="n">
        <f aca="false">calc!$D$41</f>
        <v>9</v>
      </c>
      <c r="D41" s="21" t="n">
        <f aca="false">calc!$E$41</f>
        <v>2</v>
      </c>
      <c r="E41" s="21" t="n">
        <f aca="false">calc!$K$41</f>
        <v>40</v>
      </c>
      <c r="F41" s="95" t="n">
        <f aca="false">calc!$AU$41</f>
        <v>402140.306653343</v>
      </c>
      <c r="G41" s="24" t="n">
        <f aca="false">calc!$AG$41</f>
        <v>18.7017930789825</v>
      </c>
      <c r="H41" s="96" t="n">
        <f aca="false">calc!$AH$41</f>
        <v>3.50164631852182</v>
      </c>
      <c r="I41" s="97" t="n">
        <f aca="false">H41*15</f>
        <v>52.5246947778272</v>
      </c>
    </row>
    <row r="42" customFormat="false" ht="17" hidden="false" customHeight="true" outlineLevel="0" collapsed="false">
      <c r="C42" s="21" t="n">
        <f aca="false">calc!$D$42</f>
        <v>10</v>
      </c>
      <c r="D42" s="21" t="n">
        <f aca="false">calc!$E$42</f>
        <v>2</v>
      </c>
      <c r="E42" s="21" t="n">
        <f aca="false">calc!$K$42</f>
        <v>41</v>
      </c>
      <c r="F42" s="95" t="n">
        <f aca="false">calc!$AU$42</f>
        <v>404145.233914094</v>
      </c>
      <c r="G42" s="24" t="n">
        <f aca="false">calc!$AG$42</f>
        <v>22.1777737137039</v>
      </c>
      <c r="H42" s="96" t="n">
        <f aca="false">calc!$AH$42</f>
        <v>4.310797216498</v>
      </c>
      <c r="I42" s="97" t="n">
        <f aca="false">H42*15</f>
        <v>64.66195824747</v>
      </c>
    </row>
    <row r="43" customFormat="false" ht="17" hidden="false" customHeight="true" outlineLevel="0" collapsed="false">
      <c r="C43" s="21" t="n">
        <f aca="false">calc!$D$43</f>
        <v>11</v>
      </c>
      <c r="D43" s="21" t="n">
        <f aca="false">calc!$E$43</f>
        <v>2</v>
      </c>
      <c r="E43" s="21" t="n">
        <f aca="false">calc!$K$43</f>
        <v>42</v>
      </c>
      <c r="F43" s="95" t="n">
        <f aca="false">calc!$AU$43</f>
        <v>404891.057580602</v>
      </c>
      <c r="G43" s="24" t="n">
        <f aca="false">calc!$AG$43</f>
        <v>24.704322616303</v>
      </c>
      <c r="H43" s="96" t="n">
        <f aca="false">calc!$AH$43</f>
        <v>5.15046851964755</v>
      </c>
      <c r="I43" s="97" t="n">
        <f aca="false">H43*15</f>
        <v>77.2570277947133</v>
      </c>
    </row>
    <row r="44" customFormat="false" ht="17" hidden="false" customHeight="true" outlineLevel="0" collapsed="false">
      <c r="C44" s="21" t="n">
        <f aca="false">calc!$D$44</f>
        <v>12</v>
      </c>
      <c r="D44" s="21" t="n">
        <f aca="false">calc!$E$44</f>
        <v>2</v>
      </c>
      <c r="E44" s="21" t="n">
        <f aca="false">calc!$K$44</f>
        <v>43</v>
      </c>
      <c r="F44" s="95" t="n">
        <f aca="false">calc!$AU$44</f>
        <v>404446.06300618</v>
      </c>
      <c r="G44" s="24" t="n">
        <f aca="false">calc!$AG$44</f>
        <v>26.1440121076883</v>
      </c>
      <c r="H44" s="96" t="n">
        <f aca="false">calc!$AH$44</f>
        <v>6.01826606206818</v>
      </c>
      <c r="I44" s="97" t="n">
        <f aca="false">H44*15</f>
        <v>90.2739909310227</v>
      </c>
    </row>
    <row r="45" customFormat="false" ht="17" hidden="false" customHeight="true" outlineLevel="0" collapsed="false">
      <c r="C45" s="21" t="n">
        <f aca="false">calc!$D$45</f>
        <v>13</v>
      </c>
      <c r="D45" s="21" t="n">
        <f aca="false">calc!$E$45</f>
        <v>2</v>
      </c>
      <c r="E45" s="21" t="n">
        <f aca="false">calc!$K$45</f>
        <v>44</v>
      </c>
      <c r="F45" s="95" t="n">
        <f aca="false">calc!$AU$45</f>
        <v>402955.814450084</v>
      </c>
      <c r="G45" s="24" t="n">
        <f aca="false">calc!$AG$45</f>
        <v>26.3898585500609</v>
      </c>
      <c r="H45" s="96" t="n">
        <f aca="false">calc!$AH$45</f>
        <v>6.90492152792319</v>
      </c>
      <c r="I45" s="97" t="n">
        <f aca="false">H45*15</f>
        <v>103.573822918848</v>
      </c>
    </row>
    <row r="46" customFormat="false" ht="17" hidden="false" customHeight="true" outlineLevel="0" collapsed="false">
      <c r="C46" s="21" t="n">
        <f aca="false">calc!$D$46</f>
        <v>14</v>
      </c>
      <c r="D46" s="21" t="n">
        <f aca="false">calc!$E$46</f>
        <v>2</v>
      </c>
      <c r="E46" s="21" t="n">
        <f aca="false">calc!$K$46</f>
        <v>45</v>
      </c>
      <c r="F46" s="95" t="n">
        <f aca="false">calc!$AU$46</f>
        <v>400620.956058446</v>
      </c>
      <c r="G46" s="24" t="n">
        <f aca="false">calc!$AG$46</f>
        <v>25.3903095749808</v>
      </c>
      <c r="H46" s="96" t="n">
        <f aca="false">calc!$AH$46</f>
        <v>7.79636877353311</v>
      </c>
      <c r="I46" s="97" t="n">
        <f aca="false">H46*15</f>
        <v>116.945531602997</v>
      </c>
    </row>
    <row r="47" customFormat="false" ht="17" hidden="false" customHeight="true" outlineLevel="0" collapsed="false">
      <c r="C47" s="21" t="n">
        <f aca="false">calc!$D$47</f>
        <v>15</v>
      </c>
      <c r="D47" s="21" t="n">
        <f aca="false">calc!$E$47</f>
        <v>2</v>
      </c>
      <c r="E47" s="21" t="n">
        <f aca="false">calc!$K$47</f>
        <v>46</v>
      </c>
      <c r="F47" s="95" t="n">
        <f aca="false">calc!$AU$47</f>
        <v>397672.406131795</v>
      </c>
      <c r="G47" s="24" t="n">
        <f aca="false">calc!$AG$47</f>
        <v>23.1666533841297</v>
      </c>
      <c r="H47" s="96" t="n">
        <f aca="false">calc!$AH$47</f>
        <v>8.67785780409653</v>
      </c>
      <c r="I47" s="97" t="n">
        <f aca="false">H47*15</f>
        <v>130.167867061448</v>
      </c>
    </row>
    <row r="48" customFormat="false" ht="17" hidden="false" customHeight="true" outlineLevel="0" collapsed="false">
      <c r="C48" s="21" t="n">
        <f aca="false">calc!$D$48</f>
        <v>16</v>
      </c>
      <c r="D48" s="21" t="n">
        <f aca="false">calc!$E$48</f>
        <v>2</v>
      </c>
      <c r="E48" s="21" t="n">
        <f aca="false">calc!$K$48</f>
        <v>47</v>
      </c>
      <c r="F48" s="95" t="n">
        <f aca="false">calc!$AU$48</f>
        <v>394345.820954418</v>
      </c>
      <c r="G48" s="24" t="n">
        <f aca="false">calc!$AG$48</f>
        <v>19.8147613803337</v>
      </c>
      <c r="H48" s="96" t="n">
        <f aca="false">calc!$AH$48</f>
        <v>9.53839166860423</v>
      </c>
      <c r="I48" s="97" t="n">
        <f aca="false">H48*15</f>
        <v>143.075875029064</v>
      </c>
    </row>
    <row r="49" customFormat="false" ht="17" hidden="false" customHeight="true" outlineLevel="0" collapsed="false">
      <c r="C49" s="21" t="n">
        <f aca="false">calc!$D$49</f>
        <v>17</v>
      </c>
      <c r="D49" s="21" t="n">
        <f aca="false">calc!$E$49</f>
        <v>2</v>
      </c>
      <c r="E49" s="21" t="n">
        <f aca="false">calc!$K$49</f>
        <v>48</v>
      </c>
      <c r="F49" s="95" t="n">
        <f aca="false">calc!$AU$49</f>
        <v>390857.23618829</v>
      </c>
      <c r="G49" s="24" t="n">
        <f aca="false">calc!$AG$49</f>
        <v>15.4924005018407</v>
      </c>
      <c r="H49" s="96" t="n">
        <f aca="false">calc!$AH$49</f>
        <v>10.3735192766046</v>
      </c>
      <c r="I49" s="97" t="n">
        <f aca="false">H49*15</f>
        <v>155.60278914907</v>
      </c>
    </row>
    <row r="50" customFormat="false" ht="17" hidden="false" customHeight="true" outlineLevel="0" collapsed="false">
      <c r="C50" s="21" t="n">
        <f aca="false">calc!$D$50</f>
        <v>18</v>
      </c>
      <c r="D50" s="21" t="n">
        <f aca="false">calc!$E$50</f>
        <v>2</v>
      </c>
      <c r="E50" s="21" t="n">
        <f aca="false">calc!$K$50</f>
        <v>49</v>
      </c>
      <c r="F50" s="95" t="n">
        <f aca="false">calc!$AU$50</f>
        <v>387382.658140221</v>
      </c>
      <c r="G50" s="24" t="n">
        <f aca="false">calc!$AG$50</f>
        <v>10.4005505218956</v>
      </c>
      <c r="H50" s="96" t="n">
        <f aca="false">calc!$AH$50</f>
        <v>11.1858178488181</v>
      </c>
      <c r="I50" s="97" t="n">
        <f aca="false">H50*15</f>
        <v>167.787267732272</v>
      </c>
    </row>
    <row r="51" customFormat="false" ht="17" hidden="false" customHeight="true" outlineLevel="0" collapsed="false">
      <c r="C51" s="21" t="n">
        <f aca="false">calc!$D$51</f>
        <v>19</v>
      </c>
      <c r="D51" s="21" t="n">
        <f aca="false">calc!$E$51</f>
        <v>2</v>
      </c>
      <c r="E51" s="21" t="n">
        <f aca="false">calc!$K$51</f>
        <v>50</v>
      </c>
      <c r="F51" s="95" t="n">
        <f aca="false">calc!$AU$51</f>
        <v>384045.500729688</v>
      </c>
      <c r="G51" s="24" t="n">
        <f aca="false">calc!$AG$51</f>
        <v>4.76732616643938</v>
      </c>
      <c r="H51" s="96" t="n">
        <f aca="false">calc!$AH$51</f>
        <v>11.983798660948</v>
      </c>
      <c r="I51" s="97" t="n">
        <f aca="false">H51*15</f>
        <v>179.75697991422</v>
      </c>
    </row>
    <row r="52" customFormat="false" ht="17" hidden="false" customHeight="true" outlineLevel="0" collapsed="false">
      <c r="C52" s="21" t="n">
        <f aca="false">calc!$D$52</f>
        <v>20</v>
      </c>
      <c r="D52" s="21" t="n">
        <f aca="false">calc!$E$52</f>
        <v>2</v>
      </c>
      <c r="E52" s="21" t="n">
        <f aca="false">calc!$K$52</f>
        <v>51</v>
      </c>
      <c r="F52" s="95" t="n">
        <f aca="false">calc!$AU$52</f>
        <v>380915.638308961</v>
      </c>
      <c r="G52" s="24" t="n">
        <f aca="false">calc!$AG$52</f>
        <v>-1.16100762132863</v>
      </c>
      <c r="H52" s="96" t="n">
        <f aca="false">calc!$AH$52</f>
        <v>12.7803199575739</v>
      </c>
      <c r="I52" s="97" t="n">
        <f aca="false">H52*15</f>
        <v>191.704799363608</v>
      </c>
    </row>
    <row r="53" customFormat="false" ht="17" hidden="false" customHeight="true" outlineLevel="0" collapsed="false">
      <c r="C53" s="21" t="n">
        <f aca="false">calc!$D$53</f>
        <v>21</v>
      </c>
      <c r="D53" s="21" t="n">
        <f aca="false">calc!$E$53</f>
        <v>2</v>
      </c>
      <c r="E53" s="21" t="n">
        <f aca="false">calc!$K$53</f>
        <v>52</v>
      </c>
      <c r="F53" s="95" t="n">
        <f aca="false">calc!$AU$53</f>
        <v>378021.49890644</v>
      </c>
      <c r="G53" s="24" t="n">
        <f aca="false">calc!$AG$53</f>
        <v>-7.121164620308</v>
      </c>
      <c r="H53" s="96" t="n">
        <f aca="false">calc!$AH$53</f>
        <v>13.5910887768262</v>
      </c>
      <c r="I53" s="97" t="n">
        <f aca="false">H53*15</f>
        <v>203.866331652393</v>
      </c>
    </row>
    <row r="54" customFormat="false" ht="17" hidden="false" customHeight="true" outlineLevel="0" collapsed="false">
      <c r="C54" s="21" t="n">
        <f aca="false">calc!$D$54</f>
        <v>22</v>
      </c>
      <c r="D54" s="21" t="n">
        <f aca="false">calc!$E$54</f>
        <v>2</v>
      </c>
      <c r="E54" s="21" t="n">
        <f aca="false">calc!$K$54</f>
        <v>53</v>
      </c>
      <c r="F54" s="95" t="n">
        <f aca="false">calc!$AU$54</f>
        <v>375372.744938648</v>
      </c>
      <c r="G54" s="24" t="n">
        <f aca="false">calc!$AG$54</f>
        <v>-12.8275252619496</v>
      </c>
      <c r="H54" s="96" t="n">
        <f aca="false">calc!$AH$54</f>
        <v>14.4331337322564</v>
      </c>
      <c r="I54" s="97" t="n">
        <f aca="false">H54*15</f>
        <v>216.497005983847</v>
      </c>
    </row>
    <row r="55" customFormat="false" ht="17" hidden="false" customHeight="true" outlineLevel="0" collapsed="false">
      <c r="C55" s="21" t="n">
        <f aca="false">calc!$D$55</f>
        <v>23</v>
      </c>
      <c r="D55" s="21" t="n">
        <f aca="false">calc!$E$55</f>
        <v>2</v>
      </c>
      <c r="E55" s="21" t="n">
        <f aca="false">calc!$K$55</f>
        <v>54</v>
      </c>
      <c r="F55" s="95" t="n">
        <f aca="false">calc!$AU$55</f>
        <v>372987.576656649</v>
      </c>
      <c r="G55" s="24" t="n">
        <f aca="false">calc!$AG$55</f>
        <v>-17.9643376960719</v>
      </c>
      <c r="H55" s="96" t="n">
        <f aca="false">calc!$AH$55</f>
        <v>15.3225717074921</v>
      </c>
      <c r="I55" s="97" t="n">
        <f aca="false">H55*15</f>
        <v>229.838575612381</v>
      </c>
    </row>
    <row r="56" customFormat="false" ht="17" hidden="false" customHeight="true" outlineLevel="0" collapsed="false">
      <c r="C56" s="21" t="n">
        <f aca="false">calc!$D$56</f>
        <v>24</v>
      </c>
      <c r="D56" s="21" t="n">
        <f aca="false">calc!$E$56</f>
        <v>2</v>
      </c>
      <c r="E56" s="21" t="n">
        <f aca="false">calc!$K$56</f>
        <v>55</v>
      </c>
      <c r="F56" s="95" t="n">
        <f aca="false">calc!$AU$56</f>
        <v>370917.106795615</v>
      </c>
      <c r="G56" s="24" t="n">
        <f aca="false">calc!$AG$56</f>
        <v>-22.184432115681</v>
      </c>
      <c r="H56" s="96" t="n">
        <f aca="false">calc!$AH$56</f>
        <v>16.2707667501179</v>
      </c>
      <c r="I56" s="97" t="n">
        <f aca="false">H56*15</f>
        <v>244.061501251768</v>
      </c>
    </row>
    <row r="57" customFormat="false" ht="17" hidden="false" customHeight="true" outlineLevel="0" collapsed="false">
      <c r="C57" s="21" t="n">
        <f aca="false">calc!$D$57</f>
        <v>25</v>
      </c>
      <c r="D57" s="21" t="n">
        <f aca="false">calc!$E$57</f>
        <v>2</v>
      </c>
      <c r="E57" s="21" t="n">
        <f aca="false">calc!$K$57</f>
        <v>56</v>
      </c>
      <c r="F57" s="95" t="n">
        <f aca="false">calc!$AU$57</f>
        <v>369259.781143645</v>
      </c>
      <c r="G57" s="24" t="n">
        <f aca="false">calc!$AG$57</f>
        <v>-25.1299429126594</v>
      </c>
      <c r="H57" s="96" t="n">
        <f aca="false">calc!$AH$57</f>
        <v>17.278668396793</v>
      </c>
      <c r="I57" s="97" t="n">
        <f aca="false">H57*15</f>
        <v>259.180025951895</v>
      </c>
    </row>
    <row r="58" customFormat="false" ht="17" hidden="false" customHeight="true" outlineLevel="0" collapsed="false">
      <c r="C58" s="21" t="n">
        <f aca="false">calc!$D$58</f>
        <v>26</v>
      </c>
      <c r="D58" s="21" t="n">
        <f aca="false">calc!$E$58</f>
        <v>2</v>
      </c>
      <c r="E58" s="21" t="n">
        <f aca="false">calc!$K$58</f>
        <v>57</v>
      </c>
      <c r="F58" s="95" t="n">
        <f aca="false">calc!$AU$58</f>
        <v>368160.723586173</v>
      </c>
      <c r="G58" s="24" t="n">
        <f aca="false">calc!$AG$58</f>
        <v>-26.4897077909832</v>
      </c>
      <c r="H58" s="96" t="n">
        <f aca="false">calc!$AH$58</f>
        <v>18.3315423812559</v>
      </c>
      <c r="I58" s="97" t="n">
        <f aca="false">H58*15</f>
        <v>274.973135718839</v>
      </c>
    </row>
    <row r="59" customFormat="false" ht="17" hidden="false" customHeight="true" outlineLevel="0" collapsed="false">
      <c r="C59" s="21" t="n">
        <f aca="false">calc!$D$59</f>
        <v>27</v>
      </c>
      <c r="D59" s="21" t="n">
        <f aca="false">calc!$E$59</f>
        <v>2</v>
      </c>
      <c r="E59" s="21" t="n">
        <f aca="false">calc!$K$59</f>
        <v>58</v>
      </c>
      <c r="F59" s="95" t="n">
        <f aca="false">calc!$AU$59</f>
        <v>367793.704701095</v>
      </c>
      <c r="G59" s="24" t="n">
        <f aca="false">calc!$AG$59</f>
        <v>-26.0856195414318</v>
      </c>
      <c r="H59" s="96" t="n">
        <f aca="false">calc!$AH$59</f>
        <v>19.399293750524</v>
      </c>
      <c r="I59" s="97" t="n">
        <f aca="false">H59*15</f>
        <v>290.989406257861</v>
      </c>
    </row>
    <row r="60" customFormat="false" ht="17" hidden="false" customHeight="true" outlineLevel="0" collapsed="false">
      <c r="C60" s="21" t="n">
        <f aca="false">calc!$D$60</f>
        <v>28</v>
      </c>
      <c r="D60" s="21" t="n">
        <f aca="false">calc!$E$60</f>
        <v>2</v>
      </c>
      <c r="E60" s="21" t="n">
        <f aca="false">calc!$K$60</f>
        <v>59</v>
      </c>
      <c r="F60" s="95" t="n">
        <f aca="false">calc!$AU$60</f>
        <v>368327.376348401</v>
      </c>
      <c r="G60" s="24" t="n">
        <f aca="false">calc!$AG$60</f>
        <v>-23.9421680116168</v>
      </c>
      <c r="H60" s="96" t="n">
        <f aca="false">calc!$AH$60</f>
        <v>20.4458923065931</v>
      </c>
      <c r="I60" s="97" t="n">
        <f aca="false">H60*15</f>
        <v>306.688384598896</v>
      </c>
    </row>
    <row r="61" customFormat="false" ht="17" hidden="false" customHeight="true" outlineLevel="0" collapsed="false">
      <c r="C61" s="21" t="n">
        <f aca="false">calc!$D$61</f>
        <v>1</v>
      </c>
      <c r="D61" s="21" t="n">
        <f aca="false">calc!$E$61</f>
        <v>3</v>
      </c>
      <c r="E61" s="21" t="n">
        <f aca="false">calc!$K$61</f>
        <v>60</v>
      </c>
      <c r="F61" s="95" t="n">
        <f aca="false">calc!$AU$61</f>
        <v>369882.385744718</v>
      </c>
      <c r="G61" s="24" t="n">
        <f aca="false">calc!$AG$61</f>
        <v>-20.2868857123504</v>
      </c>
      <c r="H61" s="96" t="n">
        <f aca="false">calc!$AH$61</f>
        <v>21.4429945981615</v>
      </c>
      <c r="I61" s="97" t="n">
        <f aca="false">H61*15</f>
        <v>321.644918972422</v>
      </c>
    </row>
    <row r="62" customFormat="false" ht="17" hidden="false" customHeight="true" outlineLevel="0" collapsed="false">
      <c r="C62" s="21" t="n">
        <f aca="false">calc!$D$62</f>
        <v>2</v>
      </c>
      <c r="D62" s="21" t="n">
        <f aca="false">calc!$E$62</f>
        <v>3</v>
      </c>
      <c r="E62" s="21" t="n">
        <f aca="false">calc!$K$62</f>
        <v>61</v>
      </c>
      <c r="F62" s="95" t="n">
        <f aca="false">calc!$AU$62</f>
        <v>372490.434521365</v>
      </c>
      <c r="G62" s="24" t="n">
        <f aca="false">calc!$AG$62</f>
        <v>-15.4808623983643</v>
      </c>
      <c r="H62" s="96" t="n">
        <f aca="false">calc!$AH$62</f>
        <v>22.3780206995765</v>
      </c>
      <c r="I62" s="97" t="n">
        <f aca="false">H62*15</f>
        <v>335.670310493648</v>
      </c>
    </row>
    <row r="63" customFormat="false" ht="17" hidden="false" customHeight="true" outlineLevel="0" collapsed="false">
      <c r="C63" s="21" t="n">
        <f aca="false">calc!$D$63</f>
        <v>3</v>
      </c>
      <c r="D63" s="21" t="n">
        <f aca="false">calc!$E$63</f>
        <v>3</v>
      </c>
      <c r="E63" s="21" t="n">
        <f aca="false">calc!$K$63</f>
        <v>62</v>
      </c>
      <c r="F63" s="95" t="n">
        <f aca="false">calc!$AU$63</f>
        <v>376067.613648458</v>
      </c>
      <c r="G63" s="24" t="n">
        <f aca="false">calc!$AG$63</f>
        <v>-9.92893826837556</v>
      </c>
      <c r="H63" s="96" t="n">
        <f aca="false">calc!$AH$63</f>
        <v>23.2532531289087</v>
      </c>
      <c r="I63" s="97" t="n">
        <f aca="false">H63*15</f>
        <v>348.79879693363</v>
      </c>
    </row>
    <row r="64" customFormat="false" ht="17" hidden="false" customHeight="true" outlineLevel="0" collapsed="false">
      <c r="C64" s="21" t="n">
        <f aca="false">calc!$D$64</f>
        <v>4</v>
      </c>
      <c r="D64" s="21" t="n">
        <f aca="false">calc!$E$64</f>
        <v>3</v>
      </c>
      <c r="E64" s="21" t="n">
        <f aca="false">calc!$K$64</f>
        <v>63</v>
      </c>
      <c r="F64" s="95" t="n">
        <f aca="false">calc!$AU$64</f>
        <v>380410.650423357</v>
      </c>
      <c r="G64" s="24" t="n">
        <f aca="false">calc!$AG$64</f>
        <v>-4.01372093857723</v>
      </c>
      <c r="H64" s="96" t="n">
        <f aca="false">calc!$AH$64</f>
        <v>0.0802804465896226</v>
      </c>
      <c r="I64" s="97" t="n">
        <f aca="false">H64*15</f>
        <v>1.20420669884434</v>
      </c>
    </row>
    <row r="65" customFormat="false" ht="17" hidden="false" customHeight="true" outlineLevel="0" collapsed="false">
      <c r="C65" s="21" t="n">
        <f aca="false">calc!$D$65</f>
        <v>5</v>
      </c>
      <c r="D65" s="21" t="n">
        <f aca="false">calc!$E$65</f>
        <v>3</v>
      </c>
      <c r="E65" s="21" t="n">
        <f aca="false">calc!$K$65</f>
        <v>64</v>
      </c>
      <c r="F65" s="95" t="n">
        <f aca="false">calc!$AU$65</f>
        <v>385217.1222716</v>
      </c>
      <c r="G65" s="24" t="n">
        <f aca="false">calc!$AG$65</f>
        <v>1.93583864228602</v>
      </c>
      <c r="H65" s="96" t="n">
        <f aca="false">calc!$AH$65</f>
        <v>0.874682717203242</v>
      </c>
      <c r="I65" s="97" t="n">
        <f aca="false">H65*15</f>
        <v>13.1202407580486</v>
      </c>
    </row>
    <row r="66" customFormat="false" ht="17" hidden="false" customHeight="true" outlineLevel="0" collapsed="false">
      <c r="C66" s="21" t="n">
        <f aca="false">calc!$D$66</f>
        <v>6</v>
      </c>
      <c r="D66" s="21" t="n">
        <f aca="false">calc!$E$66</f>
        <v>3</v>
      </c>
      <c r="E66" s="21" t="n">
        <f aca="false">calc!$K$66</f>
        <v>65</v>
      </c>
      <c r="F66" s="95" t="n">
        <f aca="false">calc!$AU$66</f>
        <v>390122.973474267</v>
      </c>
      <c r="G66" s="24" t="n">
        <f aca="false">calc!$AG$66</f>
        <v>7.65021610353657</v>
      </c>
      <c r="H66" s="96" t="n">
        <f aca="false">calc!$AH$66</f>
        <v>1.65270253812263</v>
      </c>
      <c r="I66" s="97" t="n">
        <f aca="false">H66*15</f>
        <v>24.7905380718395</v>
      </c>
    </row>
    <row r="67" customFormat="false" ht="17" hidden="false" customHeight="true" outlineLevel="0" collapsed="false">
      <c r="C67" s="21" t="n">
        <f aca="false">calc!$D$67</f>
        <v>7</v>
      </c>
      <c r="D67" s="21" t="n">
        <f aca="false">calc!$E$67</f>
        <v>3</v>
      </c>
      <c r="E67" s="21" t="n">
        <f aca="false">calc!$K$67</f>
        <v>66</v>
      </c>
      <c r="F67" s="95" t="n">
        <f aca="false">calc!$AU$67</f>
        <v>394746.732547651</v>
      </c>
      <c r="G67" s="24" t="n">
        <f aca="false">calc!$AG$67</f>
        <v>12.9106774805472</v>
      </c>
      <c r="H67" s="96" t="n">
        <f aca="false">calc!$AH$67</f>
        <v>2.42950077193344</v>
      </c>
      <c r="I67" s="97" t="n">
        <f aca="false">H67*15</f>
        <v>36.4425115790016</v>
      </c>
    </row>
    <row r="68" customFormat="false" ht="17" hidden="false" customHeight="true" outlineLevel="0" collapsed="false">
      <c r="C68" s="21" t="n">
        <f aca="false">calc!$D$68</f>
        <v>8</v>
      </c>
      <c r="D68" s="21" t="n">
        <f aca="false">calc!$E$68</f>
        <v>3</v>
      </c>
      <c r="E68" s="21" t="n">
        <f aca="false">calc!$K$68</f>
        <v>67</v>
      </c>
      <c r="F68" s="95" t="n">
        <f aca="false">calc!$AU$68</f>
        <v>398730.955224241</v>
      </c>
      <c r="G68" s="24" t="n">
        <f aca="false">calc!$AG$68</f>
        <v>17.5346002911018</v>
      </c>
      <c r="H68" s="96" t="n">
        <f aca="false">calc!$AH$68</f>
        <v>3.21808001522745</v>
      </c>
      <c r="I68" s="97" t="n">
        <f aca="false">H68*15</f>
        <v>48.2712002284117</v>
      </c>
    </row>
    <row r="69" customFormat="false" ht="17" hidden="false" customHeight="true" outlineLevel="0" collapsed="false">
      <c r="C69" s="21" t="n">
        <f aca="false">calc!$D$69</f>
        <v>9</v>
      </c>
      <c r="D69" s="21" t="n">
        <f aca="false">calc!$E$69</f>
        <v>3</v>
      </c>
      <c r="E69" s="21" t="n">
        <f aca="false">calc!$K$69</f>
        <v>68</v>
      </c>
      <c r="F69" s="95" t="n">
        <f aca="false">calc!$AU$69</f>
        <v>401775.608739572</v>
      </c>
      <c r="G69" s="24" t="n">
        <f aca="false">calc!$AG$69</f>
        <v>21.361235249727</v>
      </c>
      <c r="H69" s="96" t="n">
        <f aca="false">calc!$AH$69</f>
        <v>4.0281832322253</v>
      </c>
      <c r="I69" s="97" t="n">
        <f aca="false">H69*15</f>
        <v>60.4227484833795</v>
      </c>
    </row>
    <row r="70" customFormat="false" ht="17" hidden="false" customHeight="true" outlineLevel="0" collapsed="false">
      <c r="C70" s="21" t="n">
        <f aca="false">calc!$D$70</f>
        <v>10</v>
      </c>
      <c r="D70" s="21" t="n">
        <f aca="false">calc!$E$70</f>
        <v>3</v>
      </c>
      <c r="E70" s="21" t="n">
        <f aca="false">calc!$K$70</f>
        <v>69</v>
      </c>
      <c r="F70" s="95" t="n">
        <f aca="false">calc!$AU$70</f>
        <v>403662.053956341</v>
      </c>
      <c r="G70" s="24" t="n">
        <f aca="false">calc!$AG$70</f>
        <v>24.2435547593355</v>
      </c>
      <c r="H70" s="96" t="n">
        <f aca="false">calc!$AH$70</f>
        <v>4.86492917041397</v>
      </c>
      <c r="I70" s="97" t="n">
        <f aca="false">H70*15</f>
        <v>72.9739375562096</v>
      </c>
    </row>
    <row r="71" customFormat="false" ht="17" hidden="false" customHeight="true" outlineLevel="0" collapsed="false">
      <c r="C71" s="21" t="n">
        <f aca="false">calc!$D$71</f>
        <v>11</v>
      </c>
      <c r="D71" s="21" t="n">
        <f aca="false">calc!$E$71</f>
        <v>3</v>
      </c>
      <c r="E71" s="21" t="n">
        <f aca="false">calc!$K$71</f>
        <v>70</v>
      </c>
      <c r="F71" s="95" t="n">
        <f aca="false">calc!$AU$71</f>
        <v>404268.042213051</v>
      </c>
      <c r="G71" s="24" t="n">
        <f aca="false">calc!$AG$71</f>
        <v>26.0502249477307</v>
      </c>
      <c r="H71" s="96" t="n">
        <f aca="false">calc!$AH$71</f>
        <v>5.72751989280093</v>
      </c>
      <c r="I71" s="97" t="n">
        <f aca="false">H71*15</f>
        <v>85.9127983920139</v>
      </c>
    </row>
    <row r="72" customFormat="false" ht="17" hidden="false" customHeight="true" outlineLevel="0" collapsed="false">
      <c r="C72" s="21" t="n">
        <f aca="false">calc!$D$72</f>
        <v>12</v>
      </c>
      <c r="D72" s="21" t="n">
        <f aca="false">calc!$E$72</f>
        <v>3</v>
      </c>
      <c r="E72" s="21" t="n">
        <f aca="false">calc!$K$72</f>
        <v>71</v>
      </c>
      <c r="F72" s="95" t="n">
        <f aca="false">calc!$AU$72</f>
        <v>403574.174336625</v>
      </c>
      <c r="G72" s="24" t="n">
        <f aca="false">calc!$AG$72</f>
        <v>26.6779753909873</v>
      </c>
      <c r="H72" s="96" t="n">
        <f aca="false">calc!$AH$72</f>
        <v>6.60889409217721</v>
      </c>
      <c r="I72" s="97" t="n">
        <f aca="false">H72*15</f>
        <v>99.1334113826581</v>
      </c>
    </row>
    <row r="73" customFormat="false" ht="17" hidden="false" customHeight="true" outlineLevel="0" collapsed="false">
      <c r="C73" s="21" t="n">
        <f aca="false">calc!$D$73</f>
        <v>13</v>
      </c>
      <c r="D73" s="21" t="n">
        <f aca="false">calc!$E$73</f>
        <v>3</v>
      </c>
      <c r="E73" s="21" t="n">
        <f aca="false">calc!$K$73</f>
        <v>72</v>
      </c>
      <c r="F73" s="95" t="n">
        <f aca="false">calc!$AU$73</f>
        <v>401662.115098474</v>
      </c>
      <c r="G73" s="24" t="n">
        <f aca="false">calc!$AG$73</f>
        <v>26.0692216104582</v>
      </c>
      <c r="H73" s="96" t="n">
        <f aca="false">calc!$AH$73</f>
        <v>7.49723910154851</v>
      </c>
      <c r="I73" s="97" t="n">
        <f aca="false">H73*15</f>
        <v>112.458586523228</v>
      </c>
    </row>
    <row r="74" customFormat="false" ht="17" hidden="false" customHeight="true" outlineLevel="0" collapsed="false">
      <c r="C74" s="21" t="n">
        <f aca="false">calc!$D$74</f>
        <v>14</v>
      </c>
      <c r="D74" s="21" t="n">
        <f aca="false">calc!$E$74</f>
        <v>3</v>
      </c>
      <c r="E74" s="21" t="n">
        <f aca="false">calc!$K$74</f>
        <v>73</v>
      </c>
      <c r="F74" s="95" t="n">
        <f aca="false">calc!$AU$74</f>
        <v>398705.23834934</v>
      </c>
      <c r="G74" s="24" t="n">
        <f aca="false">calc!$AG$74</f>
        <v>24.2261003828582</v>
      </c>
      <c r="H74" s="96" t="n">
        <f aca="false">calc!$AH$74</f>
        <v>8.37939542429144</v>
      </c>
      <c r="I74" s="97" t="n">
        <f aca="false">H74*15</f>
        <v>125.690931364372</v>
      </c>
    </row>
    <row r="75" customFormat="false" ht="17" hidden="false" customHeight="true" outlineLevel="0" collapsed="false">
      <c r="C75" s="21" t="n">
        <f aca="false">calc!$D$75</f>
        <v>15</v>
      </c>
      <c r="D75" s="21" t="n">
        <f aca="false">calc!$E$75</f>
        <v>3</v>
      </c>
      <c r="E75" s="21" t="n">
        <f aca="false">calc!$K$75</f>
        <v>74</v>
      </c>
      <c r="F75" s="95" t="n">
        <f aca="false">calc!$AU$75</f>
        <v>394952.694362158</v>
      </c>
      <c r="G75" s="24" t="n">
        <f aca="false">calc!$AG$75</f>
        <v>21.2141447941489</v>
      </c>
      <c r="H75" s="96" t="n">
        <f aca="false">calc!$AH$75</f>
        <v>9.24487010762235</v>
      </c>
      <c r="I75" s="97" t="n">
        <f aca="false">H75*15</f>
        <v>138.673051614335</v>
      </c>
    </row>
    <row r="76" customFormat="false" ht="17" hidden="false" customHeight="true" outlineLevel="0" collapsed="false">
      <c r="C76" s="21" t="n">
        <f aca="false">calc!$D$76</f>
        <v>16</v>
      </c>
      <c r="D76" s="21" t="n">
        <f aca="false">calc!$E$76</f>
        <v>3</v>
      </c>
      <c r="E76" s="21" t="n">
        <f aca="false">calc!$K$76</f>
        <v>75</v>
      </c>
      <c r="F76" s="95" t="n">
        <f aca="false">calc!$AU$76</f>
        <v>390707.453992208</v>
      </c>
      <c r="G76" s="24" t="n">
        <f aca="false">calc!$AG$76</f>
        <v>17.1559307733464</v>
      </c>
      <c r="H76" s="96" t="n">
        <f aca="false">calc!$AH$76</f>
        <v>10.0887140333202</v>
      </c>
      <c r="I76" s="97" t="n">
        <f aca="false">H76*15</f>
        <v>151.330710499802</v>
      </c>
    </row>
    <row r="77" customFormat="false" ht="17" hidden="false" customHeight="true" outlineLevel="0" collapsed="false">
      <c r="C77" s="21" t="n">
        <f aca="false">calc!$D$77</f>
        <v>17</v>
      </c>
      <c r="D77" s="21" t="n">
        <f aca="false">calc!$E$77</f>
        <v>3</v>
      </c>
      <c r="E77" s="21" t="n">
        <f aca="false">calc!$K$77</f>
        <v>76</v>
      </c>
      <c r="F77" s="95" t="n">
        <f aca="false">calc!$AU$77</f>
        <v>386298.257017935</v>
      </c>
      <c r="G77" s="24" t="n">
        <f aca="false">calc!$AG$77</f>
        <v>12.2209223384551</v>
      </c>
      <c r="H77" s="96" t="n">
        <f aca="false">calc!$AH$77</f>
        <v>10.9124167873167</v>
      </c>
      <c r="I77" s="97" t="n">
        <f aca="false">H77*15</f>
        <v>163.68625180975</v>
      </c>
    </row>
    <row r="78" customFormat="false" ht="17" hidden="false" customHeight="true" outlineLevel="0" collapsed="false">
      <c r="C78" s="21" t="n">
        <f aca="false">calc!$D$78</f>
        <v>18</v>
      </c>
      <c r="D78" s="21" t="n">
        <f aca="false">calc!$E$78</f>
        <v>3</v>
      </c>
      <c r="E78" s="21" t="n">
        <f aca="false">calc!$K$78</f>
        <v>77</v>
      </c>
      <c r="F78" s="95" t="n">
        <f aca="false">calc!$AU$78</f>
        <v>382046.108354724</v>
      </c>
      <c r="G78" s="24" t="n">
        <f aca="false">calc!$AG$78</f>
        <v>6.61782097930022</v>
      </c>
      <c r="H78" s="96" t="n">
        <f aca="false">calc!$AH$78</f>
        <v>11.7232183419916</v>
      </c>
      <c r="I78" s="97" t="n">
        <f aca="false">H78*15</f>
        <v>175.848275129874</v>
      </c>
    </row>
    <row r="79" customFormat="false" ht="17" hidden="false" customHeight="true" outlineLevel="0" collapsed="false">
      <c r="C79" s="21" t="n">
        <f aca="false">calc!$D$79</f>
        <v>19</v>
      </c>
      <c r="D79" s="21" t="n">
        <f aca="false">calc!$E$79</f>
        <v>3</v>
      </c>
      <c r="E79" s="21" t="n">
        <f aca="false">calc!$K$79</f>
        <v>78</v>
      </c>
      <c r="F79" s="95" t="n">
        <f aca="false">calc!$AU$79</f>
        <v>378228.767742256</v>
      </c>
      <c r="G79" s="24" t="n">
        <f aca="false">calc!$AG$79</f>
        <v>0.591730073990965</v>
      </c>
      <c r="H79" s="96" t="n">
        <f aca="false">calc!$AH$79</f>
        <v>12.5327248553777</v>
      </c>
      <c r="I79" s="97" t="n">
        <f aca="false">H79*15</f>
        <v>187.990872830665</v>
      </c>
    </row>
    <row r="80" customFormat="false" ht="17" hidden="false" customHeight="true" outlineLevel="0" collapsed="false">
      <c r="C80" s="21" t="n">
        <f aca="false">calc!$D$80</f>
        <v>20</v>
      </c>
      <c r="D80" s="21" t="n">
        <f aca="false">calc!$E$80</f>
        <v>3</v>
      </c>
      <c r="E80" s="21" t="n">
        <f aca="false">calc!$K$80</f>
        <v>79</v>
      </c>
      <c r="F80" s="95" t="n">
        <f aca="false">calc!$AU$80</f>
        <v>375050.166467225</v>
      </c>
      <c r="G80" s="24" t="n">
        <f aca="false">calc!$AG$80</f>
        <v>-5.57535764159403</v>
      </c>
      <c r="H80" s="96" t="n">
        <f aca="false">calc!$AH$80</f>
        <v>13.3553993862318</v>
      </c>
      <c r="I80" s="97" t="n">
        <f aca="false">H80*15</f>
        <v>200.330990793477</v>
      </c>
    </row>
    <row r="81" customFormat="false" ht="17" hidden="false" customHeight="true" outlineLevel="0" collapsed="false">
      <c r="C81" s="21" t="n">
        <f aca="false">calc!$D$81</f>
        <v>21</v>
      </c>
      <c r="D81" s="21" t="n">
        <f aca="false">calc!$E$81</f>
        <v>3</v>
      </c>
      <c r="E81" s="21" t="n">
        <f aca="false">calc!$K$81</f>
        <v>80</v>
      </c>
      <c r="F81" s="95" t="n">
        <f aca="false">calc!$AU$81</f>
        <v>372623.027990275</v>
      </c>
      <c r="G81" s="24" t="n">
        <f aca="false">calc!$AG$81</f>
        <v>-11.5640283181485</v>
      </c>
      <c r="H81" s="96" t="n">
        <f aca="false">calc!$AH$81</f>
        <v>14.2069045867756</v>
      </c>
      <c r="I81" s="97" t="n">
        <f aca="false">H81*15</f>
        <v>213.103568801634</v>
      </c>
    </row>
    <row r="82" customFormat="false" ht="17" hidden="false" customHeight="true" outlineLevel="0" collapsed="false">
      <c r="C82" s="21" t="n">
        <f aca="false">calc!$D$82</f>
        <v>22</v>
      </c>
      <c r="D82" s="21" t="n">
        <f aca="false">calc!$E$82</f>
        <v>3</v>
      </c>
      <c r="E82" s="21" t="n">
        <f aca="false">calc!$K$82</f>
        <v>81</v>
      </c>
      <c r="F82" s="95" t="n">
        <f aca="false">calc!$AU$82</f>
        <v>370970.256364554</v>
      </c>
      <c r="G82" s="24" t="n">
        <f aca="false">calc!$AG$82</f>
        <v>-17.02098632555</v>
      </c>
      <c r="H82" s="96" t="n">
        <f aca="false">calc!$AH$82</f>
        <v>15.1017817942995</v>
      </c>
      <c r="I82" s="97" t="n">
        <f aca="false">H82*15</f>
        <v>226.526726914493</v>
      </c>
    </row>
    <row r="83" customFormat="false" ht="17" hidden="false" customHeight="true" outlineLevel="0" collapsed="false">
      <c r="C83" s="21" t="n">
        <f aca="false">calc!$D$83</f>
        <v>23</v>
      </c>
      <c r="D83" s="21" t="n">
        <f aca="false">calc!$E$83</f>
        <v>3</v>
      </c>
      <c r="E83" s="21" t="n">
        <f aca="false">calc!$K$83</f>
        <v>82</v>
      </c>
      <c r="F83" s="95" t="n">
        <f aca="false">calc!$AU$83</f>
        <v>370044.715029349</v>
      </c>
      <c r="G83" s="24" t="n">
        <f aca="false">calc!$AG$83</f>
        <v>-21.572507122732</v>
      </c>
      <c r="H83" s="96" t="n">
        <f aca="false">calc!$AH$83</f>
        <v>16.0498022664078</v>
      </c>
      <c r="I83" s="97" t="n">
        <f aca="false">H83*15</f>
        <v>240.747033996116</v>
      </c>
    </row>
    <row r="84" customFormat="false" ht="17" hidden="false" customHeight="true" outlineLevel="0" collapsed="false">
      <c r="C84" s="21" t="n">
        <f aca="false">calc!$D$84</f>
        <v>24</v>
      </c>
      <c r="D84" s="21" t="n">
        <f aca="false">calc!$E$84</f>
        <v>3</v>
      </c>
      <c r="E84" s="21" t="n">
        <f aca="false">calc!$K$84</f>
        <v>83</v>
      </c>
      <c r="F84" s="95" t="n">
        <f aca="false">calc!$AU$84</f>
        <v>369760.943566772</v>
      </c>
      <c r="G84" s="24" t="n">
        <f aca="false">calc!$AG$84</f>
        <v>-24.8560074229286</v>
      </c>
      <c r="H84" s="96" t="n">
        <f aca="false">calc!$AH$84</f>
        <v>17.0510051525279</v>
      </c>
      <c r="I84" s="97" t="n">
        <f aca="false">H84*15</f>
        <v>255.765077287919</v>
      </c>
    </row>
    <row r="85" customFormat="false" ht="17" hidden="false" customHeight="true" outlineLevel="0" collapsed="false">
      <c r="C85" s="21" t="n">
        <f aca="false">calc!$D$85</f>
        <v>25</v>
      </c>
      <c r="D85" s="21" t="n">
        <f aca="false">calc!$E$85</f>
        <v>3</v>
      </c>
      <c r="E85" s="21" t="n">
        <f aca="false">calc!$K$85</f>
        <v>84</v>
      </c>
      <c r="F85" s="95" t="n">
        <f aca="false">calc!$AU$85</f>
        <v>370029.162215741</v>
      </c>
      <c r="G85" s="24" t="n">
        <f aca="false">calc!$AG$85</f>
        <v>-26.5752664695411</v>
      </c>
      <c r="H85" s="96" t="n">
        <f aca="false">calc!$AH$85</f>
        <v>18.091463506928</v>
      </c>
      <c r="I85" s="97" t="n">
        <f aca="false">H85*15</f>
        <v>271.371952603919</v>
      </c>
    </row>
    <row r="86" customFormat="false" ht="17" hidden="false" customHeight="true" outlineLevel="0" collapsed="false">
      <c r="C86" s="21" t="n">
        <f aca="false">calc!$D$86</f>
        <v>26</v>
      </c>
      <c r="D86" s="21" t="n">
        <f aca="false">calc!$E$86</f>
        <v>3</v>
      </c>
      <c r="E86" s="21" t="n">
        <f aca="false">calc!$K$86</f>
        <v>85</v>
      </c>
      <c r="F86" s="95" t="n">
        <f aca="false">calc!$AU$86</f>
        <v>370782.458299262</v>
      </c>
      <c r="G86" s="24" t="n">
        <f aca="false">calc!$AG$86</f>
        <v>-26.5685617871301</v>
      </c>
      <c r="H86" s="96" t="n">
        <f aca="false">calc!$AH$86</f>
        <v>19.144002230341</v>
      </c>
      <c r="I86" s="97" t="n">
        <f aca="false">H86*15</f>
        <v>287.160033455115</v>
      </c>
    </row>
    <row r="87" customFormat="false" ht="17" hidden="false" customHeight="true" outlineLevel="0" collapsed="false">
      <c r="C87" s="21" t="n">
        <f aca="false">calc!$D$87</f>
        <v>27</v>
      </c>
      <c r="D87" s="21" t="n">
        <f aca="false">calc!$E$87</f>
        <v>3</v>
      </c>
      <c r="E87" s="21" t="n">
        <f aca="false">calc!$K$87</f>
        <v>86</v>
      </c>
      <c r="F87" s="95" t="n">
        <f aca="false">calc!$AU$87</f>
        <v>371991.027881143</v>
      </c>
      <c r="G87" s="24" t="n">
        <f aca="false">calc!$AG$87</f>
        <v>-24.855517512633</v>
      </c>
      <c r="H87" s="96" t="n">
        <f aca="false">calc!$AH$87</f>
        <v>20.1764063287311</v>
      </c>
      <c r="I87" s="97" t="n">
        <f aca="false">H87*15</f>
        <v>302.646094930967</v>
      </c>
    </row>
    <row r="88" customFormat="false" ht="17" hidden="false" customHeight="true" outlineLevel="0" collapsed="false">
      <c r="C88" s="21" t="n">
        <f aca="false">calc!$D$88</f>
        <v>28</v>
      </c>
      <c r="D88" s="21" t="n">
        <f aca="false">calc!$E$88</f>
        <v>3</v>
      </c>
      <c r="E88" s="21" t="n">
        <f aca="false">calc!$K$88</f>
        <v>87</v>
      </c>
      <c r="F88" s="95" t="n">
        <f aca="false">calc!$AU$88</f>
        <v>373660.958437821</v>
      </c>
      <c r="G88" s="24" t="n">
        <f aca="false">calc!$AG$88</f>
        <v>-21.6293355790138</v>
      </c>
      <c r="H88" s="96" t="n">
        <f aca="false">calc!$AH$88</f>
        <v>21.1630088459719</v>
      </c>
      <c r="I88" s="97" t="n">
        <f aca="false">H88*15</f>
        <v>317.445132689578</v>
      </c>
    </row>
    <row r="89" customFormat="false" ht="17" hidden="false" customHeight="true" outlineLevel="0" collapsed="false">
      <c r="C89" s="21" t="n">
        <f aca="false">calc!$D$89</f>
        <v>29</v>
      </c>
      <c r="D89" s="21" t="n">
        <f aca="false">calc!$E$89</f>
        <v>3</v>
      </c>
      <c r="E89" s="21" t="n">
        <f aca="false">calc!$K$89</f>
        <v>88</v>
      </c>
      <c r="F89" s="95" t="n">
        <f aca="false">calc!$AU$89</f>
        <v>375818.473554134</v>
      </c>
      <c r="G89" s="24" t="n">
        <f aca="false">calc!$AG$89</f>
        <v>-17.1991326649411</v>
      </c>
      <c r="H89" s="96" t="n">
        <f aca="false">calc!$AH$89</f>
        <v>22.0918389241471</v>
      </c>
      <c r="I89" s="97" t="n">
        <f aca="false">H89*15</f>
        <v>331.377583862207</v>
      </c>
    </row>
    <row r="90" customFormat="false" ht="17" hidden="false" customHeight="true" outlineLevel="0" collapsed="false">
      <c r="C90" s="21" t="n">
        <f aca="false">calc!$D$90</f>
        <v>30</v>
      </c>
      <c r="D90" s="21" t="n">
        <f aca="false">calc!$E$90</f>
        <v>3</v>
      </c>
      <c r="E90" s="21" t="n">
        <f aca="false">calc!$K$90</f>
        <v>89</v>
      </c>
      <c r="F90" s="95" t="n">
        <f aca="false">calc!$AU$90</f>
        <v>378483.887681704</v>
      </c>
      <c r="G90" s="24" t="n">
        <f aca="false">calc!$AG$90</f>
        <v>-11.9201299892169</v>
      </c>
      <c r="H90" s="96" t="n">
        <f aca="false">calc!$AH$90</f>
        <v>22.9643199125855</v>
      </c>
      <c r="I90" s="97" t="n">
        <f aca="false">H90*15</f>
        <v>344.464798688783</v>
      </c>
    </row>
    <row r="91" customFormat="false" ht="17" hidden="false" customHeight="true" outlineLevel="0" collapsed="false">
      <c r="C91" s="21" t="n">
        <f aca="false">calc!$D$91</f>
        <v>31</v>
      </c>
      <c r="D91" s="21" t="n">
        <f aca="false">calc!$E$91</f>
        <v>3</v>
      </c>
      <c r="E91" s="21" t="n">
        <f aca="false">calc!$K$91</f>
        <v>90</v>
      </c>
      <c r="F91" s="95" t="n">
        <f aca="false">calc!$AU$91</f>
        <v>381642.471792001</v>
      </c>
      <c r="G91" s="24" t="n">
        <f aca="false">calc!$AG$91</f>
        <v>-6.14284853851211</v>
      </c>
      <c r="H91" s="96" t="n">
        <f aca="false">calc!$AH$91</f>
        <v>23.7907341977208</v>
      </c>
      <c r="I91" s="97" t="n">
        <f aca="false">H91*15</f>
        <v>356.861012965813</v>
      </c>
    </row>
    <row r="92" customFormat="false" ht="17" hidden="false" customHeight="true" outlineLevel="0" collapsed="false">
      <c r="C92" s="21" t="n">
        <f aca="false">calc!$D$92</f>
        <v>1</v>
      </c>
      <c r="D92" s="21" t="n">
        <f aca="false">calc!$E$92</f>
        <v>4</v>
      </c>
      <c r="E92" s="21" t="n">
        <f aca="false">calc!$K$92</f>
        <v>91</v>
      </c>
      <c r="F92" s="95" t="n">
        <f aca="false">calc!$AU$92</f>
        <v>385220.785359909</v>
      </c>
      <c r="G92" s="24" t="n">
        <f aca="false">calc!$AG$92</f>
        <v>-0.187533252748315</v>
      </c>
      <c r="H92" s="96" t="n">
        <f aca="false">calc!$AH$92</f>
        <v>0.585520950591213</v>
      </c>
      <c r="I92" s="97" t="n">
        <f aca="false">H92*15</f>
        <v>8.7828142588682</v>
      </c>
    </row>
    <row r="93" customFormat="false" ht="17" hidden="false" customHeight="true" outlineLevel="0" collapsed="false">
      <c r="C93" s="21" t="n">
        <f aca="false">calc!$D$93</f>
        <v>2</v>
      </c>
      <c r="D93" s="21" t="n">
        <f aca="false">calc!$E$93</f>
        <v>4</v>
      </c>
      <c r="E93" s="21" t="n">
        <f aca="false">calc!$K$93</f>
        <v>92</v>
      </c>
      <c r="F93" s="95" t="n">
        <f aca="false">calc!$AU$93</f>
        <v>389075.506819948</v>
      </c>
      <c r="G93" s="24" t="n">
        <f aca="false">calc!$AG$93</f>
        <v>5.66385289370165</v>
      </c>
      <c r="H93" s="96" t="n">
        <f aca="false">calc!$AH$93</f>
        <v>1.36410341724709</v>
      </c>
      <c r="I93" s="97" t="n">
        <f aca="false">H93*15</f>
        <v>20.4615512587063</v>
      </c>
    </row>
    <row r="94" customFormat="false" ht="17" hidden="false" customHeight="true" outlineLevel="0" collapsed="false">
      <c r="C94" s="21" t="n">
        <f aca="false">calc!$D$94</f>
        <v>3</v>
      </c>
      <c r="D94" s="21" t="n">
        <f aca="false">calc!$E$94</f>
        <v>4</v>
      </c>
      <c r="E94" s="21" t="n">
        <f aca="false">calc!$K$94</f>
        <v>93</v>
      </c>
      <c r="F94" s="95" t="n">
        <f aca="false">calc!$AU$94</f>
        <v>392997.581978391</v>
      </c>
      <c r="G94" s="24" t="n">
        <f aca="false">calc!$AG$94</f>
        <v>11.1663017520153</v>
      </c>
      <c r="H94" s="96" t="n">
        <f aca="false">calc!$AH$94</f>
        <v>2.14109158764426</v>
      </c>
      <c r="I94" s="97" t="n">
        <f aca="false">H94*15</f>
        <v>32.1163738146638</v>
      </c>
    </row>
    <row r="95" customFormat="false" ht="17" hidden="false" customHeight="true" outlineLevel="0" collapsed="false">
      <c r="C95" s="21" t="n">
        <f aca="false">calc!$D$95</f>
        <v>4</v>
      </c>
      <c r="D95" s="21" t="n">
        <f aca="false">calc!$E$95</f>
        <v>4</v>
      </c>
      <c r="E95" s="21" t="n">
        <f aca="false">calc!$K$95</f>
        <v>94</v>
      </c>
      <c r="F95" s="95" t="n">
        <f aca="false">calc!$AU$95</f>
        <v>396729.651258855</v>
      </c>
      <c r="G95" s="24" t="n">
        <f aca="false">calc!$AG$95</f>
        <v>16.1061366451063</v>
      </c>
      <c r="H95" s="96" t="n">
        <f aca="false">calc!$AH$95</f>
        <v>2.92913589078078</v>
      </c>
      <c r="I95" s="97" t="n">
        <f aca="false">H95*15</f>
        <v>43.9370383617116</v>
      </c>
    </row>
    <row r="96" customFormat="false" ht="17" hidden="false" customHeight="true" outlineLevel="0" collapsed="false">
      <c r="C96" s="21" t="n">
        <f aca="false">calc!$D$96</f>
        <v>5</v>
      </c>
      <c r="D96" s="21" t="n">
        <f aca="false">calc!$E$96</f>
        <v>4</v>
      </c>
      <c r="E96" s="21" t="n">
        <f aca="false">calc!$K$96</f>
        <v>95</v>
      </c>
      <c r="F96" s="95" t="n">
        <f aca="false">calc!$AU$96</f>
        <v>399991.705650065</v>
      </c>
      <c r="G96" s="24" t="n">
        <f aca="false">calc!$AG$96</f>
        <v>20.2945771102194</v>
      </c>
      <c r="H96" s="96" t="n">
        <f aca="false">calc!$AH$96</f>
        <v>3.73781213777327</v>
      </c>
      <c r="I96" s="97" t="n">
        <f aca="false">H96*15</f>
        <v>56.067182066599</v>
      </c>
    </row>
    <row r="97" customFormat="false" ht="17" hidden="false" customHeight="true" outlineLevel="0" collapsed="false">
      <c r="C97" s="21" t="n">
        <f aca="false">calc!$D$97</f>
        <v>6</v>
      </c>
      <c r="D97" s="21" t="n">
        <f aca="false">calc!$E$97</f>
        <v>4</v>
      </c>
      <c r="E97" s="21" t="n">
        <f aca="false">calc!$K$97</f>
        <v>96</v>
      </c>
      <c r="F97" s="95" t="n">
        <f aca="false">calc!$AU$97</f>
        <v>402509.755175092</v>
      </c>
      <c r="G97" s="24" t="n">
        <f aca="false">calc!$AG$97</f>
        <v>23.5642004923448</v>
      </c>
      <c r="H97" s="96" t="n">
        <f aca="false">calc!$AH$97</f>
        <v>4.57228030035101</v>
      </c>
      <c r="I97" s="97" t="n">
        <f aca="false">H97*15</f>
        <v>68.5842045052651</v>
      </c>
    </row>
    <row r="98" customFormat="false" ht="17" hidden="false" customHeight="true" outlineLevel="0" collapsed="false">
      <c r="C98" s="21" t="n">
        <f aca="false">calc!$D$98</f>
        <v>7</v>
      </c>
      <c r="D98" s="21" t="n">
        <f aca="false">calc!$E$98</f>
        <v>4</v>
      </c>
      <c r="E98" s="21" t="n">
        <f aca="false">calc!$K$98</f>
        <v>97</v>
      </c>
      <c r="F98" s="95" t="n">
        <f aca="false">calc!$AU$98</f>
        <v>404043.878907928</v>
      </c>
      <c r="G98" s="24" t="n">
        <f aca="false">calc!$AG$98</f>
        <v>25.771885237334</v>
      </c>
      <c r="H98" s="96" t="n">
        <f aca="false">calc!$AH$98</f>
        <v>5.43198577973588</v>
      </c>
      <c r="I98" s="97" t="n">
        <f aca="false">H98*15</f>
        <v>81.4797866960383</v>
      </c>
    </row>
    <row r="99" customFormat="false" ht="17" hidden="false" customHeight="true" outlineLevel="0" collapsed="false">
      <c r="C99" s="21" t="n">
        <f aca="false">calc!$D$99</f>
        <v>8</v>
      </c>
      <c r="D99" s="21" t="n">
        <f aca="false">calc!$E$99</f>
        <v>4</v>
      </c>
      <c r="E99" s="21" t="n">
        <f aca="false">calc!$K$99</f>
        <v>98</v>
      </c>
      <c r="F99" s="95" t="n">
        <f aca="false">calc!$AU$99</f>
        <v>404413.477515481</v>
      </c>
      <c r="G99" s="24" t="n">
        <f aca="false">calc!$AG$99</f>
        <v>26.8092583439538</v>
      </c>
      <c r="H99" s="96" t="n">
        <f aca="false">calc!$AH$99</f>
        <v>6.31022353980549</v>
      </c>
      <c r="I99" s="97" t="n">
        <f aca="false">H99*15</f>
        <v>94.6533530970824</v>
      </c>
    </row>
    <row r="100" customFormat="false" ht="17" hidden="false" customHeight="true" outlineLevel="0" collapsed="false">
      <c r="C100" s="21" t="n">
        <f aca="false">calc!$D$100</f>
        <v>9</v>
      </c>
      <c r="D100" s="21" t="n">
        <f aca="false">calc!$E$100</f>
        <v>4</v>
      </c>
      <c r="E100" s="21" t="n">
        <f aca="false">calc!$K$100</f>
        <v>99</v>
      </c>
      <c r="F100" s="95" t="n">
        <f aca="false">calc!$AU$100</f>
        <v>403517.999131513</v>
      </c>
      <c r="G100" s="24" t="n">
        <f aca="false">calc!$AG$100</f>
        <v>26.6166482680717</v>
      </c>
      <c r="H100" s="96" t="n">
        <f aca="false">calc!$AH$100</f>
        <v>7.19550114808977</v>
      </c>
      <c r="I100" s="97" t="n">
        <f aca="false">H100*15</f>
        <v>107.932517221347</v>
      </c>
    </row>
    <row r="101" customFormat="false" ht="17" hidden="false" customHeight="true" outlineLevel="0" collapsed="false">
      <c r="C101" s="21" t="n">
        <f aca="false">calc!$D$101</f>
        <v>10</v>
      </c>
      <c r="D101" s="21" t="n">
        <f aca="false">calc!$E$101</f>
        <v>4</v>
      </c>
      <c r="E101" s="21" t="n">
        <f aca="false">calc!$K$101</f>
        <v>100</v>
      </c>
      <c r="F101" s="95" t="n">
        <f aca="false">calc!$AU$101</f>
        <v>401351.470011045</v>
      </c>
      <c r="G101" s="24" t="n">
        <f aca="false">calc!$AG$101</f>
        <v>25.1925830640961</v>
      </c>
      <c r="H101" s="96" t="n">
        <f aca="false">calc!$AH$101</f>
        <v>8.0748324026441</v>
      </c>
      <c r="I101" s="97" t="n">
        <f aca="false">H101*15</f>
        <v>121.122486039661</v>
      </c>
    </row>
    <row r="102" customFormat="false" ht="17" hidden="false" customHeight="true" outlineLevel="0" collapsed="false">
      <c r="C102" s="21" t="n">
        <f aca="false">calc!$D$102</f>
        <v>11</v>
      </c>
      <c r="D102" s="21" t="n">
        <f aca="false">calc!$E$102</f>
        <v>4</v>
      </c>
      <c r="E102" s="21" t="n">
        <f aca="false">calc!$K$102</f>
        <v>101</v>
      </c>
      <c r="F102" s="95" t="n">
        <f aca="false">calc!$AU$102</f>
        <v>398009.719199065</v>
      </c>
      <c r="G102" s="24" t="n">
        <f aca="false">calc!$AG$102</f>
        <v>22.592742205166</v>
      </c>
      <c r="H102" s="96" t="n">
        <f aca="false">calc!$AH$102</f>
        <v>8.93775182695462</v>
      </c>
      <c r="I102" s="97" t="n">
        <f aca="false">H102*15</f>
        <v>134.066277404319</v>
      </c>
    </row>
    <row r="103" customFormat="false" ht="17" hidden="false" customHeight="true" outlineLevel="0" collapsed="false">
      <c r="C103" s="21" t="n">
        <f aca="false">calc!$D$103</f>
        <v>12</v>
      </c>
      <c r="D103" s="21" t="n">
        <f aca="false">calc!$E$103</f>
        <v>4</v>
      </c>
      <c r="E103" s="21" t="n">
        <f aca="false">calc!$K$103</f>
        <v>102</v>
      </c>
      <c r="F103" s="95" t="n">
        <f aca="false">calc!$AU$103</f>
        <v>393690.036152495</v>
      </c>
      <c r="G103" s="24" t="n">
        <f aca="false">calc!$AG$103</f>
        <v>18.9197918882555</v>
      </c>
      <c r="H103" s="96" t="n">
        <f aca="false">calc!$AH$103</f>
        <v>9.77927404734294</v>
      </c>
      <c r="I103" s="97" t="n">
        <f aca="false">H103*15</f>
        <v>146.689110710144</v>
      </c>
    </row>
    <row r="104" customFormat="false" ht="17" hidden="false" customHeight="true" outlineLevel="0" collapsed="false">
      <c r="C104" s="21" t="n">
        <f aca="false">calc!$D$104</f>
        <v>13</v>
      </c>
      <c r="D104" s="21" t="n">
        <f aca="false">calc!$E$104</f>
        <v>4</v>
      </c>
      <c r="E104" s="21" t="n">
        <f aca="false">calc!$K$104</f>
        <v>103</v>
      </c>
      <c r="F104" s="95" t="n">
        <f aca="false">calc!$AU$104</f>
        <v>388683.006366079</v>
      </c>
      <c r="G104" s="24" t="n">
        <f aca="false">calc!$AG$104</f>
        <v>14.3120398513939</v>
      </c>
      <c r="H104" s="96" t="n">
        <f aca="false">calc!$AH$104</f>
        <v>10.6008714161448</v>
      </c>
      <c r="I104" s="97" t="n">
        <f aca="false">H104*15</f>
        <v>159.013071242172</v>
      </c>
    </row>
    <row r="105" customFormat="false" ht="17" hidden="false" customHeight="true" outlineLevel="0" collapsed="false">
      <c r="C105" s="21" t="n">
        <f aca="false">calc!$D$105</f>
        <v>14</v>
      </c>
      <c r="D105" s="21" t="n">
        <f aca="false">calc!$E$105</f>
        <v>4</v>
      </c>
      <c r="E105" s="21" t="n">
        <f aca="false">calc!$K$105</f>
        <v>104</v>
      </c>
      <c r="F105" s="95" t="n">
        <f aca="false">calc!$AU$105</f>
        <v>383354.984221555</v>
      </c>
      <c r="G105" s="24" t="n">
        <f aca="false">calc!$AG$105</f>
        <v>8.93879701041838</v>
      </c>
      <c r="H105" s="96" t="n">
        <f aca="false">calc!$AH$105</f>
        <v>11.4098438374915</v>
      </c>
      <c r="I105" s="97" t="n">
        <f aca="false">H105*15</f>
        <v>171.147657562372</v>
      </c>
    </row>
    <row r="106" customFormat="false" ht="17" hidden="false" customHeight="true" outlineLevel="0" collapsed="false">
      <c r="C106" s="21" t="n">
        <f aca="false">calc!$D$106</f>
        <v>15</v>
      </c>
      <c r="D106" s="21" t="n">
        <f aca="false">calc!$E$106</f>
        <v>4</v>
      </c>
      <c r="E106" s="21" t="n">
        <f aca="false">calc!$K$106</f>
        <v>105</v>
      </c>
      <c r="F106" s="95" t="n">
        <f aca="false">calc!$AU$106</f>
        <v>378118.53351332</v>
      </c>
      <c r="G106" s="24" t="n">
        <f aca="false">calc!$AG$106</f>
        <v>3.00516943117328</v>
      </c>
      <c r="H106" s="96" t="n">
        <f aca="false">calc!$AH$106</f>
        <v>12.218007040264</v>
      </c>
      <c r="I106" s="97" t="n">
        <f aca="false">H106*15</f>
        <v>183.270105603959</v>
      </c>
    </row>
    <row r="107" customFormat="false" ht="17" hidden="false" customHeight="true" outlineLevel="0" collapsed="false">
      <c r="C107" s="21" t="n">
        <f aca="false">calc!$D$107</f>
        <v>16</v>
      </c>
      <c r="D107" s="21" t="n">
        <f aca="false">calc!$E$107</f>
        <v>4</v>
      </c>
      <c r="E107" s="21" t="n">
        <f aca="false">calc!$K$107</f>
        <v>106</v>
      </c>
      <c r="F107" s="95" t="n">
        <f aca="false">calc!$AU$107</f>
        <v>373389.666562197</v>
      </c>
      <c r="G107" s="24" t="n">
        <f aca="false">calc!$AG$107</f>
        <v>-3.23651888564578</v>
      </c>
      <c r="H107" s="96" t="n">
        <f aca="false">calc!$AH$107</f>
        <v>13.0403062730276</v>
      </c>
      <c r="I107" s="97" t="n">
        <f aca="false">H107*15</f>
        <v>195.604594095415</v>
      </c>
    </row>
    <row r="108" customFormat="false" ht="17" hidden="false" customHeight="true" outlineLevel="0" collapsed="false">
      <c r="C108" s="21" t="n">
        <f aca="false">calc!$D$108</f>
        <v>17</v>
      </c>
      <c r="D108" s="21" t="n">
        <f aca="false">calc!$E$108</f>
        <v>4</v>
      </c>
      <c r="E108" s="21" t="n">
        <f aca="false">calc!$K$108</f>
        <v>107</v>
      </c>
      <c r="F108" s="95" t="n">
        <f aca="false">calc!$AU$108</f>
        <v>369535.838615106</v>
      </c>
      <c r="G108" s="24" t="n">
        <f aca="false">calc!$AG$108</f>
        <v>-9.47488810435274</v>
      </c>
      <c r="H108" s="96" t="n">
        <f aca="false">calc!$AH$108</f>
        <v>13.8933083117666</v>
      </c>
      <c r="I108" s="97" t="n">
        <f aca="false">H108*15</f>
        <v>208.399624676498</v>
      </c>
    </row>
    <row r="109" customFormat="false" ht="17" hidden="false" customHeight="true" outlineLevel="0" collapsed="false">
      <c r="C109" s="21" t="n">
        <f aca="false">calc!$D$109</f>
        <v>18</v>
      </c>
      <c r="D109" s="21" t="n">
        <f aca="false">calc!$E$109</f>
        <v>4</v>
      </c>
      <c r="E109" s="21" t="n">
        <f aca="false">calc!$K$109</f>
        <v>108</v>
      </c>
      <c r="F109" s="95" t="n">
        <f aca="false">calc!$AU$109</f>
        <v>366825.186998015</v>
      </c>
      <c r="G109" s="24" t="n">
        <f aca="false">calc!$AG$109</f>
        <v>-15.3353666932057</v>
      </c>
      <c r="H109" s="96" t="n">
        <f aca="false">calc!$AH$109</f>
        <v>14.7929375198599</v>
      </c>
      <c r="I109" s="97" t="n">
        <f aca="false">H109*15</f>
        <v>221.894062797899</v>
      </c>
    </row>
    <row r="110" customFormat="false" ht="17" hidden="false" customHeight="true" outlineLevel="0" collapsed="false">
      <c r="C110" s="21" t="n">
        <f aca="false">calc!$D$110</f>
        <v>19</v>
      </c>
      <c r="D110" s="21" t="n">
        <f aca="false">calc!$E$110</f>
        <v>4</v>
      </c>
      <c r="E110" s="21" t="n">
        <f aca="false">calc!$K$110</f>
        <v>109</v>
      </c>
      <c r="F110" s="95" t="n">
        <f aca="false">calc!$AU$110</f>
        <v>365391.036731781</v>
      </c>
      <c r="G110" s="24" t="n">
        <f aca="false">calc!$AG$110</f>
        <v>-20.3937263473975</v>
      </c>
      <c r="H110" s="96" t="n">
        <f aca="false">calc!$AH$110</f>
        <v>15.7505559038592</v>
      </c>
      <c r="I110" s="97" t="n">
        <f aca="false">H110*15</f>
        <v>236.258338557888</v>
      </c>
    </row>
    <row r="111" customFormat="false" ht="17" hidden="false" customHeight="true" outlineLevel="0" collapsed="false">
      <c r="C111" s="21" t="n">
        <f aca="false">calc!$D$111</f>
        <v>20</v>
      </c>
      <c r="D111" s="21" t="n">
        <f aca="false">calc!$E$111</f>
        <v>4</v>
      </c>
      <c r="E111" s="21" t="n">
        <f aca="false">calc!$K$111</f>
        <v>110</v>
      </c>
      <c r="F111" s="95" t="n">
        <f aca="false">calc!$AU$111</f>
        <v>365222.914098194</v>
      </c>
      <c r="G111" s="24" t="n">
        <f aca="false">calc!$AG$111</f>
        <v>-24.2184303969179</v>
      </c>
      <c r="H111" s="96" t="n">
        <f aca="false">calc!$AH$111</f>
        <v>16.7671450430466</v>
      </c>
      <c r="I111" s="97" t="n">
        <f aca="false">H111*15</f>
        <v>251.507175645699</v>
      </c>
    </row>
    <row r="112" customFormat="false" ht="17" hidden="false" customHeight="true" outlineLevel="0" collapsed="false">
      <c r="C112" s="21" t="n">
        <f aca="false">calc!$D$112</f>
        <v>21</v>
      </c>
      <c r="D112" s="21" t="n">
        <f aca="false">calc!$E$112</f>
        <v>4</v>
      </c>
      <c r="E112" s="21" t="n">
        <f aca="false">calc!$K$112</f>
        <v>111</v>
      </c>
      <c r="F112" s="95" t="n">
        <f aca="false">calc!$AU$112</f>
        <v>366186.800306061</v>
      </c>
      <c r="G112" s="24" t="n">
        <f aca="false">calc!$AG$112</f>
        <v>-26.4468055683867</v>
      </c>
      <c r="H112" s="96" t="n">
        <f aca="false">calc!$AH$112</f>
        <v>17.8278056123368</v>
      </c>
      <c r="I112" s="97" t="n">
        <f aca="false">H112*15</f>
        <v>267.417084185053</v>
      </c>
    </row>
    <row r="113" customFormat="false" ht="17" hidden="false" customHeight="true" outlineLevel="0" collapsed="false">
      <c r="C113" s="21" t="n">
        <f aca="false">calc!$D$113</f>
        <v>22</v>
      </c>
      <c r="D113" s="21" t="n">
        <f aca="false">calc!$E$113</f>
        <v>4</v>
      </c>
      <c r="E113" s="21" t="n">
        <f aca="false">calc!$K$113</f>
        <v>112</v>
      </c>
      <c r="F113" s="95" t="n">
        <f aca="false">calc!$AU$113</f>
        <v>368067.429615489</v>
      </c>
      <c r="G113" s="24" t="n">
        <f aca="false">calc!$AG$113</f>
        <v>-26.8764686200106</v>
      </c>
      <c r="H113" s="96" t="n">
        <f aca="false">calc!$AH$113</f>
        <v>18.9019243610177</v>
      </c>
      <c r="I113" s="97" t="n">
        <f aca="false">H113*15</f>
        <v>283.528865415265</v>
      </c>
    </row>
    <row r="114" customFormat="false" ht="17" hidden="false" customHeight="true" outlineLevel="0" collapsed="false">
      <c r="C114" s="21" t="n">
        <f aca="false">calc!$D$114</f>
        <v>23</v>
      </c>
      <c r="D114" s="21" t="n">
        <f aca="false">calc!$E$114</f>
        <v>4</v>
      </c>
      <c r="E114" s="21" t="n">
        <f aca="false">calc!$K$114</f>
        <v>113</v>
      </c>
      <c r="F114" s="95" t="n">
        <f aca="false">calc!$AU$114</f>
        <v>370619.095044173</v>
      </c>
      <c r="G114" s="24" t="n">
        <f aca="false">calc!$AG$114</f>
        <v>-25.5225292132988</v>
      </c>
      <c r="H114" s="96" t="n">
        <f aca="false">calc!$AH$114</f>
        <v>19.9527433220329</v>
      </c>
      <c r="I114" s="97" t="n">
        <f aca="false">H114*15</f>
        <v>299.291149830494</v>
      </c>
    </row>
    <row r="115" customFormat="false" ht="17" hidden="false" customHeight="true" outlineLevel="0" collapsed="false">
      <c r="C115" s="21" t="n">
        <f aca="false">calc!$D$115</f>
        <v>24</v>
      </c>
      <c r="D115" s="21" t="n">
        <f aca="false">calc!$E$115</f>
        <v>4</v>
      </c>
      <c r="E115" s="21" t="n">
        <f aca="false">calc!$K$115</f>
        <v>114</v>
      </c>
      <c r="F115" s="95" t="n">
        <f aca="false">calc!$AU$115</f>
        <v>373611.043312435</v>
      </c>
      <c r="G115" s="24" t="n">
        <f aca="false">calc!$AG$115</f>
        <v>-22.5976712214332</v>
      </c>
      <c r="H115" s="96" t="n">
        <f aca="false">calc!$AH$115</f>
        <v>20.9513603953746</v>
      </c>
      <c r="I115" s="97" t="n">
        <f aca="false">H115*15</f>
        <v>314.270405930619</v>
      </c>
    </row>
    <row r="116" customFormat="false" ht="17" hidden="false" customHeight="true" outlineLevel="0" collapsed="false">
      <c r="C116" s="21" t="n">
        <f aca="false">calc!$D$116</f>
        <v>25</v>
      </c>
      <c r="D116" s="21" t="n">
        <f aca="false">calc!$E$116</f>
        <v>4</v>
      </c>
      <c r="E116" s="21" t="n">
        <f aca="false">calc!$K$116</f>
        <v>115</v>
      </c>
      <c r="F116" s="95" t="n">
        <f aca="false">calc!$AU$116</f>
        <v>376857.875642974</v>
      </c>
      <c r="G116" s="24" t="n">
        <f aca="false">calc!$AG$116</f>
        <v>-18.430268294291</v>
      </c>
      <c r="H116" s="96" t="n">
        <f aca="false">calc!$AH$116</f>
        <v>21.8850500376835</v>
      </c>
      <c r="I116" s="97" t="n">
        <f aca="false">H116*15</f>
        <v>328.275750565252</v>
      </c>
    </row>
    <row r="117" customFormat="false" ht="17" hidden="false" customHeight="true" outlineLevel="0" collapsed="false">
      <c r="C117" s="21" t="n">
        <f aca="false">calc!$D$117</f>
        <v>26</v>
      </c>
      <c r="D117" s="21" t="n">
        <f aca="false">calc!$E$117</f>
        <v>4</v>
      </c>
      <c r="E117" s="21" t="n">
        <f aca="false">calc!$K$117</f>
        <v>116</v>
      </c>
      <c r="F117" s="95" t="n">
        <f aca="false">calc!$AU$117</f>
        <v>380231.293284112</v>
      </c>
      <c r="G117" s="24" t="n">
        <f aca="false">calc!$AG$117</f>
        <v>-13.3781141868742</v>
      </c>
      <c r="H117" s="96" t="n">
        <f aca="false">calc!$AH$117</f>
        <v>22.7563095647683</v>
      </c>
      <c r="I117" s="97" t="n">
        <f aca="false">H117*15</f>
        <v>341.344643471525</v>
      </c>
    </row>
    <row r="118" customFormat="false" ht="17" hidden="false" customHeight="true" outlineLevel="0" collapsed="false">
      <c r="C118" s="21" t="n">
        <f aca="false">calc!$D$118</f>
        <v>27</v>
      </c>
      <c r="D118" s="21" t="n">
        <f aca="false">calc!$E$118</f>
        <v>4</v>
      </c>
      <c r="E118" s="21" t="n">
        <f aca="false">calc!$K$118</f>
        <v>117</v>
      </c>
      <c r="F118" s="95" t="n">
        <f aca="false">calc!$AU$118</f>
        <v>383654.528121979</v>
      </c>
      <c r="G118" s="24" t="n">
        <f aca="false">calc!$AG$118</f>
        <v>-7.77699930515858</v>
      </c>
      <c r="H118" s="96" t="n">
        <f aca="false">calc!$AH$118</f>
        <v>23.5771202536648</v>
      </c>
      <c r="I118" s="97" t="n">
        <f aca="false">H118*15</f>
        <v>353.656803804972</v>
      </c>
    </row>
    <row r="119" customFormat="false" ht="17" hidden="false" customHeight="true" outlineLevel="0" collapsed="false">
      <c r="C119" s="21" t="n">
        <f aca="false">calc!$D$119</f>
        <v>28</v>
      </c>
      <c r="D119" s="21" t="n">
        <f aca="false">calc!$E$119</f>
        <v>4</v>
      </c>
      <c r="E119" s="21" t="n">
        <f aca="false">calc!$K$119</f>
        <v>118</v>
      </c>
      <c r="F119" s="95" t="n">
        <f aca="false">calc!$AU$119</f>
        <v>387084.097218481</v>
      </c>
      <c r="G119" s="24" t="n">
        <f aca="false">calc!$AG$119</f>
        <v>-1.92473756131798</v>
      </c>
      <c r="H119" s="96" t="n">
        <f aca="false">calc!$AH$119</f>
        <v>0.363490311716266</v>
      </c>
      <c r="I119" s="97" t="n">
        <f aca="false">H119*15</f>
        <v>5.452354675744</v>
      </c>
    </row>
    <row r="120" customFormat="false" ht="17" hidden="false" customHeight="true" outlineLevel="0" collapsed="false">
      <c r="C120" s="21" t="n">
        <f aca="false">calc!$D$120</f>
        <v>29</v>
      </c>
      <c r="D120" s="21" t="n">
        <f aca="false">calc!$E$120</f>
        <v>4</v>
      </c>
      <c r="E120" s="21" t="n">
        <f aca="false">calc!$K$120</f>
        <v>119</v>
      </c>
      <c r="F120" s="95" t="n">
        <f aca="false">calc!$AU$120</f>
        <v>390485.351198672</v>
      </c>
      <c r="G120" s="24" t="n">
        <f aca="false">calc!$AG$120</f>
        <v>3.91572947355006</v>
      </c>
      <c r="H120" s="96" t="n">
        <f aca="false">calc!$AH$120</f>
        <v>1.13206469704797</v>
      </c>
      <c r="I120" s="97" t="n">
        <f aca="false">H120*15</f>
        <v>16.9809704557196</v>
      </c>
    </row>
    <row r="121" customFormat="false" ht="17" hidden="false" customHeight="true" outlineLevel="0" collapsed="false">
      <c r="C121" s="21" t="n">
        <f aca="false">calc!$D$121</f>
        <v>30</v>
      </c>
      <c r="D121" s="21" t="n">
        <f aca="false">calc!$E$121</f>
        <v>4</v>
      </c>
      <c r="E121" s="21" t="n">
        <f aca="false">calc!$K$121</f>
        <v>120</v>
      </c>
      <c r="F121" s="95" t="n">
        <f aca="false">calc!$AU$121</f>
        <v>393808.751036664</v>
      </c>
      <c r="G121" s="24" t="n">
        <f aca="false">calc!$AG$121</f>
        <v>9.50778531289009</v>
      </c>
      <c r="H121" s="96" t="n">
        <f aca="false">calc!$AH$121</f>
        <v>1.89839189238571</v>
      </c>
      <c r="I121" s="97" t="n">
        <f aca="false">H121*15</f>
        <v>28.4758783857856</v>
      </c>
    </row>
    <row r="122" customFormat="false" ht="17" hidden="false" customHeight="true" outlineLevel="0" collapsed="false">
      <c r="C122" s="21" t="n">
        <f aca="false">calc!$D$122</f>
        <v>1</v>
      </c>
      <c r="D122" s="21" t="n">
        <f aca="false">calc!$E$122</f>
        <v>5</v>
      </c>
      <c r="E122" s="21" t="n">
        <f aca="false">calc!$K$122</f>
        <v>121</v>
      </c>
      <c r="F122" s="95" t="n">
        <f aca="false">calc!$AU$122</f>
        <v>396972.68321583</v>
      </c>
      <c r="G122" s="24" t="n">
        <f aca="false">calc!$AG$122</f>
        <v>14.6336447874102</v>
      </c>
      <c r="H122" s="96" t="n">
        <f aca="false">calc!$AH$122</f>
        <v>2.67592234951257</v>
      </c>
      <c r="I122" s="97" t="n">
        <f aca="false">H122*15</f>
        <v>40.1388352426886</v>
      </c>
    </row>
    <row r="123" customFormat="false" ht="17" hidden="false" customHeight="true" outlineLevel="0" collapsed="false">
      <c r="C123" s="21" t="n">
        <f aca="false">calc!$D$123</f>
        <v>2</v>
      </c>
      <c r="D123" s="21" t="n">
        <f aca="false">calc!$E$123</f>
        <v>5</v>
      </c>
      <c r="E123" s="21" t="n">
        <f aca="false">calc!$K$123</f>
        <v>122</v>
      </c>
      <c r="F123" s="95" t="n">
        <f aca="false">calc!$AU$123</f>
        <v>399856.095398932</v>
      </c>
      <c r="G123" s="24" t="n">
        <f aca="false">calc!$AG$123</f>
        <v>19.0902211106534</v>
      </c>
      <c r="H123" s="96" t="n">
        <f aca="false">calc!$AH$123</f>
        <v>3.47501508517697</v>
      </c>
      <c r="I123" s="97" t="n">
        <f aca="false">H123*15</f>
        <v>52.1252262776546</v>
      </c>
    </row>
    <row r="124" customFormat="false" ht="17" hidden="false" customHeight="true" outlineLevel="0" collapsed="false">
      <c r="C124" s="21" t="n">
        <f aca="false">calc!$D$124</f>
        <v>3</v>
      </c>
      <c r="D124" s="21" t="n">
        <f aca="false">calc!$E$124</f>
        <v>5</v>
      </c>
      <c r="E124" s="21" t="n">
        <f aca="false">calc!$K$124</f>
        <v>123</v>
      </c>
      <c r="F124" s="95" t="n">
        <f aca="false">calc!$AU$124</f>
        <v>402301.349807511</v>
      </c>
      <c r="G124" s="24" t="n">
        <f aca="false">calc!$AG$124</f>
        <v>22.6898192665198</v>
      </c>
      <c r="H124" s="96" t="n">
        <f aca="false">calc!$AH$124</f>
        <v>4.30161973600971</v>
      </c>
      <c r="I124" s="97" t="n">
        <f aca="false">H124*15</f>
        <v>64.5242960401456</v>
      </c>
    </row>
    <row r="125" customFormat="false" ht="17" hidden="false" customHeight="true" outlineLevel="0" collapsed="false">
      <c r="C125" s="21" t="n">
        <f aca="false">calc!$D$125</f>
        <v>4</v>
      </c>
      <c r="D125" s="21" t="n">
        <f aca="false">calc!$E$125</f>
        <v>5</v>
      </c>
      <c r="E125" s="21" t="n">
        <f aca="false">calc!$K$125</f>
        <v>124</v>
      </c>
      <c r="F125" s="95" t="n">
        <f aca="false">calc!$AU$125</f>
        <v>404125.734898136</v>
      </c>
      <c r="G125" s="24" t="n">
        <f aca="false">calc!$AG$125</f>
        <v>25.2674044308584</v>
      </c>
      <c r="H125" s="96" t="n">
        <f aca="false">calc!$AH$125</f>
        <v>5.15582776897938</v>
      </c>
      <c r="I125" s="97" t="n">
        <f aca="false">H125*15</f>
        <v>77.3374165346907</v>
      </c>
    </row>
    <row r="126" customFormat="false" ht="17" hidden="false" customHeight="true" outlineLevel="0" collapsed="false">
      <c r="C126" s="21" t="n">
        <f aca="false">calc!$D$126</f>
        <v>5</v>
      </c>
      <c r="D126" s="21" t="n">
        <f aca="false">calc!$E$126</f>
        <v>5</v>
      </c>
      <c r="E126" s="21" t="n">
        <f aca="false">calc!$K$126</f>
        <v>125</v>
      </c>
      <c r="F126" s="95" t="n">
        <f aca="false">calc!$AU$126</f>
        <v>405139.479833432</v>
      </c>
      <c r="G126" s="24" t="n">
        <f aca="false">calc!$AG$126</f>
        <v>26.6948307072561</v>
      </c>
      <c r="H126" s="96" t="n">
        <f aca="false">calc!$AH$126</f>
        <v>6.03110875707078</v>
      </c>
      <c r="I126" s="97" t="n">
        <f aca="false">H126*15</f>
        <v>90.4666313560617</v>
      </c>
    </row>
    <row r="127" customFormat="false" ht="17" hidden="false" customHeight="true" outlineLevel="0" collapsed="false">
      <c r="C127" s="21" t="n">
        <f aca="false">calc!$D$127</f>
        <v>6</v>
      </c>
      <c r="D127" s="21" t="n">
        <f aca="false">calc!$E$127</f>
        <v>5</v>
      </c>
      <c r="E127" s="21" t="n">
        <f aca="false">calc!$K$127</f>
        <v>126</v>
      </c>
      <c r="F127" s="95" t="n">
        <f aca="false">calc!$AU$127</f>
        <v>405168.174127518</v>
      </c>
      <c r="G127" s="24" t="n">
        <f aca="false">calc!$AG$127</f>
        <v>26.8980606098947</v>
      </c>
      <c r="H127" s="96" t="n">
        <f aca="false">calc!$AH$127</f>
        <v>6.91534707229068</v>
      </c>
      <c r="I127" s="97" t="n">
        <f aca="false">H127*15</f>
        <v>103.73020608436</v>
      </c>
    </row>
    <row r="128" customFormat="false" ht="17" hidden="false" customHeight="true" outlineLevel="0" collapsed="false">
      <c r="C128" s="21" t="n">
        <f aca="false">calc!$D$128</f>
        <v>7</v>
      </c>
      <c r="D128" s="21" t="n">
        <f aca="false">calc!$E$128</f>
        <v>5</v>
      </c>
      <c r="E128" s="21" t="n">
        <f aca="false">calc!$K$128</f>
        <v>127</v>
      </c>
      <c r="F128" s="95" t="n">
        <f aca="false">calc!$AU$128</f>
        <v>404077.284831162</v>
      </c>
      <c r="G128" s="24" t="n">
        <f aca="false">calc!$AG$128</f>
        <v>25.8686968943381</v>
      </c>
      <c r="H128" s="96" t="n">
        <f aca="false">calc!$AH$128</f>
        <v>7.79412193426197</v>
      </c>
      <c r="I128" s="97" t="n">
        <f aca="false">H128*15</f>
        <v>116.91182901393</v>
      </c>
    </row>
    <row r="129" customFormat="false" ht="17" hidden="false" customHeight="true" outlineLevel="0" collapsed="false">
      <c r="C129" s="21" t="n">
        <f aca="false">calc!$D$129</f>
        <v>8</v>
      </c>
      <c r="D129" s="21" t="n">
        <f aca="false">calc!$E$129</f>
        <v>5</v>
      </c>
      <c r="E129" s="21" t="n">
        <f aca="false">calc!$K$129</f>
        <v>128</v>
      </c>
      <c r="F129" s="95" t="n">
        <f aca="false">calc!$AU$129</f>
        <v>401795.946131567</v>
      </c>
      <c r="G129" s="24" t="n">
        <f aca="false">calc!$AG$129</f>
        <v>23.6618974734171</v>
      </c>
      <c r="H129" s="96" t="n">
        <f aca="false">calc!$AH$129</f>
        <v>8.65515233622605</v>
      </c>
      <c r="I129" s="97" t="n">
        <f aca="false">H129*15</f>
        <v>129.827285043391</v>
      </c>
    </row>
    <row r="130" customFormat="false" ht="17" hidden="false" customHeight="true" outlineLevel="0" collapsed="false">
      <c r="C130" s="21" t="n">
        <f aca="false">calc!$D$130</f>
        <v>9</v>
      </c>
      <c r="D130" s="21" t="n">
        <f aca="false">calc!$E$130</f>
        <v>5</v>
      </c>
      <c r="E130" s="21" t="n">
        <f aca="false">calc!$K$130</f>
        <v>129</v>
      </c>
      <c r="F130" s="95" t="n">
        <f aca="false">calc!$AU$130</f>
        <v>398337.161508093</v>
      </c>
      <c r="G130" s="24" t="n">
        <f aca="false">calc!$AG$130</f>
        <v>20.3809097375786</v>
      </c>
      <c r="H130" s="96" t="n">
        <f aca="false">calc!$AH$130</f>
        <v>9.49187231976622</v>
      </c>
      <c r="I130" s="97" t="n">
        <f aca="false">H130*15</f>
        <v>142.378084796493</v>
      </c>
    </row>
    <row r="131" customFormat="false" ht="17" hidden="false" customHeight="true" outlineLevel="0" collapsed="false">
      <c r="C131" s="21" t="n">
        <f aca="false">calc!$D$131</f>
        <v>10</v>
      </c>
      <c r="D131" s="21" t="n">
        <f aca="false">calc!$E$131</f>
        <v>5</v>
      </c>
      <c r="E131" s="21" t="n">
        <f aca="false">calc!$K$131</f>
        <v>130</v>
      </c>
      <c r="F131" s="95" t="n">
        <f aca="false">calc!$AU$131</f>
        <v>393812.407911605</v>
      </c>
      <c r="G131" s="24" t="n">
        <f aca="false">calc!$AG$131</f>
        <v>16.1575038275734</v>
      </c>
      <c r="H131" s="96" t="n">
        <f aca="false">calc!$AH$131</f>
        <v>10.3048138249878</v>
      </c>
      <c r="I131" s="97" t="n">
        <f aca="false">H131*15</f>
        <v>154.572207374818</v>
      </c>
    </row>
    <row r="132" customFormat="false" ht="17" hidden="false" customHeight="true" outlineLevel="0" collapsed="false">
      <c r="C132" s="21" t="n">
        <f aca="false">calc!$D$132</f>
        <v>11</v>
      </c>
      <c r="D132" s="21" t="n">
        <f aca="false">calc!$E$132</f>
        <v>5</v>
      </c>
      <c r="E132" s="21" t="n">
        <f aca="false">calc!$K$132</f>
        <v>131</v>
      </c>
      <c r="F132" s="95" t="n">
        <f aca="false">calc!$AU$132</f>
        <v>388439.462692558</v>
      </c>
      <c r="G132" s="24" t="n">
        <f aca="false">calc!$AG$132</f>
        <v>11.1396932929361</v>
      </c>
      <c r="H132" s="96" t="n">
        <f aca="false">calc!$AH$132</f>
        <v>11.1010286115146</v>
      </c>
      <c r="I132" s="97" t="n">
        <f aca="false">H132*15</f>
        <v>166.515429172719</v>
      </c>
    </row>
    <row r="133" customFormat="false" ht="17" hidden="false" customHeight="true" outlineLevel="0" collapsed="false">
      <c r="C133" s="21" t="n">
        <f aca="false">calc!$D$133</f>
        <v>12</v>
      </c>
      <c r="D133" s="21" t="n">
        <f aca="false">calc!$E$133</f>
        <v>5</v>
      </c>
      <c r="E133" s="21" t="n">
        <f aca="false">calc!$K$133</f>
        <v>132</v>
      </c>
      <c r="F133" s="95" t="n">
        <f aca="false">calc!$AU$133</f>
        <v>382541.627523703</v>
      </c>
      <c r="G133" s="24" t="n">
        <f aca="false">calc!$AG$133</f>
        <v>5.49320168449558</v>
      </c>
      <c r="H133" s="96" t="n">
        <f aca="false">calc!$AH$133</f>
        <v>11.8926396622146</v>
      </c>
      <c r="I133" s="97" t="n">
        <f aca="false">H133*15</f>
        <v>178.389594933219</v>
      </c>
    </row>
    <row r="134" customFormat="false" ht="17" hidden="false" customHeight="true" outlineLevel="0" collapsed="false">
      <c r="C134" s="21" t="n">
        <f aca="false">calc!$D$134</f>
        <v>13</v>
      </c>
      <c r="D134" s="21" t="n">
        <f aca="false">calc!$E$134</f>
        <v>5</v>
      </c>
      <c r="E134" s="21" t="n">
        <f aca="false">calc!$K$134</f>
        <v>133</v>
      </c>
      <c r="F134" s="95" t="n">
        <f aca="false">calc!$AU$134</f>
        <v>376534.327078097</v>
      </c>
      <c r="G134" s="24" t="n">
        <f aca="false">calc!$AG$134</f>
        <v>-0.583587031079876</v>
      </c>
      <c r="H134" s="96" t="n">
        <f aca="false">calc!$AH$134</f>
        <v>12.6953963303081</v>
      </c>
      <c r="I134" s="97" t="n">
        <f aca="false">H134*15</f>
        <v>190.430944954622</v>
      </c>
    </row>
    <row r="135" customFormat="false" ht="17" hidden="false" customHeight="true" outlineLevel="0" collapsed="false">
      <c r="C135" s="21" t="n">
        <f aca="false">calc!$D$135</f>
        <v>14</v>
      </c>
      <c r="D135" s="21" t="n">
        <f aca="false">calc!$E$135</f>
        <v>5</v>
      </c>
      <c r="E135" s="21" t="n">
        <f aca="false">calc!$K$135</f>
        <v>134</v>
      </c>
      <c r="F135" s="95" t="n">
        <f aca="false">calc!$AU$135</f>
        <v>370893.667816589</v>
      </c>
      <c r="G135" s="24" t="n">
        <f aca="false">calc!$AG$135</f>
        <v>-6.83652066968239</v>
      </c>
      <c r="H135" s="96" t="n">
        <f aca="false">calc!$AH$135</f>
        <v>13.5273911545171</v>
      </c>
      <c r="I135" s="97" t="n">
        <f aca="false">H135*15</f>
        <v>202.910867317757</v>
      </c>
    </row>
    <row r="136" customFormat="false" ht="17" hidden="false" customHeight="true" outlineLevel="0" collapsed="false">
      <c r="C136" s="21" t="n">
        <f aca="false">calc!$D$136</f>
        <v>15</v>
      </c>
      <c r="D136" s="21" t="n">
        <f aca="false">calc!$E$136</f>
        <v>5</v>
      </c>
      <c r="E136" s="21" t="n">
        <f aca="false">calc!$K$136</f>
        <v>135</v>
      </c>
      <c r="F136" s="95" t="n">
        <f aca="false">calc!$AU$136</f>
        <v>366104.241518248</v>
      </c>
      <c r="G136" s="24" t="n">
        <f aca="false">calc!$AG$136</f>
        <v>-12.9334238499544</v>
      </c>
      <c r="H136" s="96" t="n">
        <f aca="false">calc!$AH$136</f>
        <v>14.4073570717797</v>
      </c>
      <c r="I136" s="97" t="n">
        <f aca="false">H136*15</f>
        <v>216.110356076695</v>
      </c>
    </row>
    <row r="137" customFormat="false" ht="17" hidden="false" customHeight="true" outlineLevel="0" collapsed="false">
      <c r="C137" s="21" t="n">
        <f aca="false">calc!$D$137</f>
        <v>16</v>
      </c>
      <c r="D137" s="21" t="n">
        <f aca="false">calc!$E$137</f>
        <v>5</v>
      </c>
      <c r="E137" s="21" t="n">
        <f aca="false">calc!$K$137</f>
        <v>136</v>
      </c>
      <c r="F137" s="95" t="n">
        <f aca="false">calc!$AU$137</f>
        <v>362591.265601429</v>
      </c>
      <c r="G137" s="24" t="n">
        <f aca="false">calc!$AG$137</f>
        <v>-18.4558732400871</v>
      </c>
      <c r="H137" s="96" t="n">
        <f aca="false">calc!$AH$137</f>
        <v>15.3513697984036</v>
      </c>
      <c r="I137" s="97" t="n">
        <f aca="false">H137*15</f>
        <v>230.270546976054</v>
      </c>
    </row>
    <row r="138" customFormat="false" ht="17" hidden="false" customHeight="true" outlineLevel="0" collapsed="false">
      <c r="C138" s="21" t="n">
        <f aca="false">calc!$D$138</f>
        <v>17</v>
      </c>
      <c r="D138" s="21" t="n">
        <f aca="false">calc!$E$138</f>
        <v>5</v>
      </c>
      <c r="E138" s="21" t="n">
        <f aca="false">calc!$K$138</f>
        <v>137</v>
      </c>
      <c r="F138" s="95" t="n">
        <f aca="false">calc!$AU$138</f>
        <v>360651.785608485</v>
      </c>
      <c r="G138" s="24" t="n">
        <f aca="false">calc!$AG$138</f>
        <v>-22.9233920033903</v>
      </c>
      <c r="H138" s="96" t="n">
        <f aca="false">calc!$AH$138</f>
        <v>16.3667917227282</v>
      </c>
      <c r="I138" s="97" t="n">
        <f aca="false">H138*15</f>
        <v>245.501875840923</v>
      </c>
    </row>
    <row r="139" customFormat="false" ht="17" hidden="false" customHeight="true" outlineLevel="0" collapsed="false">
      <c r="C139" s="21" t="n">
        <f aca="false">calc!$D$139</f>
        <v>18</v>
      </c>
      <c r="D139" s="21" t="n">
        <f aca="false">calc!$E$139</f>
        <v>5</v>
      </c>
      <c r="E139" s="21" t="n">
        <f aca="false">calc!$K$139</f>
        <v>138</v>
      </c>
      <c r="F139" s="95" t="n">
        <f aca="false">calc!$AU$139</f>
        <v>360405.017222139</v>
      </c>
      <c r="G139" s="24" t="n">
        <f aca="false">calc!$AG$139</f>
        <v>-25.8686831950494</v>
      </c>
      <c r="H139" s="96" t="n">
        <f aca="false">calc!$AH$139</f>
        <v>17.444295278132</v>
      </c>
      <c r="I139" s="97" t="n">
        <f aca="false">H139*15</f>
        <v>261.66442917198</v>
      </c>
    </row>
    <row r="140" customFormat="false" ht="17" hidden="false" customHeight="true" outlineLevel="0" collapsed="false">
      <c r="C140" s="21" t="n">
        <f aca="false">calc!$D$140</f>
        <v>19</v>
      </c>
      <c r="D140" s="21" t="n">
        <f aca="false">calc!$E$140</f>
        <v>5</v>
      </c>
      <c r="E140" s="21" t="n">
        <f aca="false">calc!$K$140</f>
        <v>139</v>
      </c>
      <c r="F140" s="95" t="n">
        <f aca="false">calc!$AU$140</f>
        <v>361778.355747465</v>
      </c>
      <c r="G140" s="24" t="n">
        <f aca="false">calc!$AG$140</f>
        <v>-26.9601999240835</v>
      </c>
      <c r="H140" s="96" t="n">
        <f aca="false">calc!$AH$140</f>
        <v>18.5535730845577</v>
      </c>
      <c r="I140" s="97" t="n">
        <f aca="false">H140*15</f>
        <v>278.303596268365</v>
      </c>
    </row>
    <row r="141" customFormat="false" ht="17" hidden="false" customHeight="true" outlineLevel="0" collapsed="false">
      <c r="C141" s="21" t="n">
        <f aca="false">calc!$D$141</f>
        <v>20</v>
      </c>
      <c r="D141" s="21" t="n">
        <f aca="false">calc!$E$141</f>
        <v>5</v>
      </c>
      <c r="E141" s="21" t="n">
        <f aca="false">calc!$K$141</f>
        <v>140</v>
      </c>
      <c r="F141" s="95" t="n">
        <f aca="false">calc!$AU$141</f>
        <v>364533.761395758</v>
      </c>
      <c r="G141" s="24" t="n">
        <f aca="false">calc!$AG$141</f>
        <v>-26.1158675378441</v>
      </c>
      <c r="H141" s="96" t="n">
        <f aca="false">calc!$AH$141</f>
        <v>19.6506330018625</v>
      </c>
      <c r="I141" s="97" t="n">
        <f aca="false">H141*15</f>
        <v>294.759495027938</v>
      </c>
    </row>
    <row r="142" customFormat="false" ht="17" hidden="false" customHeight="true" outlineLevel="0" collapsed="false">
      <c r="C142" s="21" t="n">
        <f aca="false">calc!$D$142</f>
        <v>21</v>
      </c>
      <c r="D142" s="21" t="n">
        <f aca="false">calc!$E$142</f>
        <v>5</v>
      </c>
      <c r="E142" s="21" t="n">
        <f aca="false">calc!$K$142</f>
        <v>141</v>
      </c>
      <c r="F142" s="95" t="n">
        <f aca="false">calc!$AU$142</f>
        <v>368325.026270441</v>
      </c>
      <c r="G142" s="24" t="n">
        <f aca="false">calc!$AG$142</f>
        <v>-23.5234675451863</v>
      </c>
      <c r="H142" s="96" t="n">
        <f aca="false">calc!$AH$142</f>
        <v>20.6954943628309</v>
      </c>
      <c r="I142" s="97" t="n">
        <f aca="false">H142*15</f>
        <v>310.432415442464</v>
      </c>
    </row>
    <row r="143" customFormat="false" ht="17" hidden="false" customHeight="true" outlineLevel="0" collapsed="false">
      <c r="C143" s="21" t="n">
        <f aca="false">calc!$D$143</f>
        <v>22</v>
      </c>
      <c r="D143" s="21" t="n">
        <f aca="false">calc!$E$143</f>
        <v>5</v>
      </c>
      <c r="E143" s="21" t="n">
        <f aca="false">calc!$K$143</f>
        <v>142</v>
      </c>
      <c r="F143" s="95" t="n">
        <f aca="false">calc!$AU$143</f>
        <v>372767.085274839</v>
      </c>
      <c r="G143" s="24" t="n">
        <f aca="false">calc!$AG$143</f>
        <v>-19.5490272406938</v>
      </c>
      <c r="H143" s="96" t="n">
        <f aca="false">calc!$AH$143</f>
        <v>21.6667057764248</v>
      </c>
      <c r="I143" s="97" t="n">
        <f aca="false">H143*15</f>
        <v>325.000586646372</v>
      </c>
    </row>
    <row r="144" customFormat="false" ht="17" hidden="false" customHeight="true" outlineLevel="0" collapsed="false">
      <c r="C144" s="21" t="n">
        <f aca="false">calc!$D$144</f>
        <v>23</v>
      </c>
      <c r="D144" s="21" t="n">
        <f aca="false">calc!$E$144</f>
        <v>5</v>
      </c>
      <c r="E144" s="21" t="n">
        <f aca="false">calc!$K$144</f>
        <v>143</v>
      </c>
      <c r="F144" s="95" t="n">
        <f aca="false">calc!$AU$144</f>
        <v>377497.918908261</v>
      </c>
      <c r="G144" s="24" t="n">
        <f aca="false">calc!$AG$144</f>
        <v>-14.6086268814046</v>
      </c>
      <c r="H144" s="96" t="n">
        <f aca="false">calc!$AH$144</f>
        <v>22.5631229366844</v>
      </c>
      <c r="I144" s="97" t="n">
        <f aca="false">H144*15</f>
        <v>338.446844050266</v>
      </c>
    </row>
    <row r="145" customFormat="false" ht="17" hidden="false" customHeight="true" outlineLevel="0" collapsed="false">
      <c r="C145" s="21" t="n">
        <f aca="false">calc!$D$145</f>
        <v>24</v>
      </c>
      <c r="D145" s="21" t="n">
        <f aca="false">calc!$E$145</f>
        <v>5</v>
      </c>
      <c r="E145" s="21" t="n">
        <f aca="false">calc!$K$145</f>
        <v>144</v>
      </c>
      <c r="F145" s="95" t="n">
        <f aca="false">calc!$AU$145</f>
        <v>382220.26636463</v>
      </c>
      <c r="G145" s="24" t="n">
        <f aca="false">calc!$AG$145</f>
        <v>-9.08172039272115</v>
      </c>
      <c r="H145" s="96" t="n">
        <f aca="false">calc!$AH$145</f>
        <v>23.3970132899112</v>
      </c>
      <c r="I145" s="97" t="n">
        <f aca="false">H145*15</f>
        <v>350.955199348668</v>
      </c>
    </row>
    <row r="146" customFormat="false" ht="17" hidden="false" customHeight="true" outlineLevel="0" collapsed="false">
      <c r="C146" s="21" t="n">
        <f aca="false">calc!$D$146</f>
        <v>25</v>
      </c>
      <c r="D146" s="21" t="n">
        <f aca="false">calc!$E$146</f>
        <v>5</v>
      </c>
      <c r="E146" s="21" t="n">
        <f aca="false">calc!$K$146</f>
        <v>145</v>
      </c>
      <c r="F146" s="95" t="n">
        <f aca="false">calc!$AU$146</f>
        <v>386719.482429449</v>
      </c>
      <c r="G146" s="24" t="n">
        <f aca="false">calc!$AG$146</f>
        <v>-3.28264408253432</v>
      </c>
      <c r="H146" s="96" t="n">
        <f aca="false">calc!$AH$146</f>
        <v>0.186468642053041</v>
      </c>
      <c r="I146" s="97" t="n">
        <f aca="false">H146*15</f>
        <v>2.79702963079561</v>
      </c>
    </row>
    <row r="147" customFormat="false" ht="17" hidden="false" customHeight="true" outlineLevel="0" collapsed="false">
      <c r="C147" s="21" t="n">
        <f aca="false">calc!$D$147</f>
        <v>26</v>
      </c>
      <c r="D147" s="21" t="n">
        <f aca="false">calc!$E$147</f>
        <v>5</v>
      </c>
      <c r="E147" s="21" t="n">
        <f aca="false">calc!$K$147</f>
        <v>146</v>
      </c>
      <c r="F147" s="95" t="n">
        <f aca="false">calc!$AU$147</f>
        <v>390860.917434259</v>
      </c>
      <c r="G147" s="24" t="n">
        <f aca="false">calc!$AG$147</f>
        <v>2.53175324411819</v>
      </c>
      <c r="H147" s="96" t="n">
        <f aca="false">calc!$AH$147</f>
        <v>0.950612883143855</v>
      </c>
      <c r="I147" s="97" t="n">
        <f aca="false">H147*15</f>
        <v>14.2591932471578</v>
      </c>
    </row>
    <row r="148" customFormat="false" ht="17" hidden="false" customHeight="true" outlineLevel="0" collapsed="false">
      <c r="C148" s="21" t="n">
        <f aca="false">calc!$D$148</f>
        <v>27</v>
      </c>
      <c r="D148" s="21" t="n">
        <f aca="false">calc!$E$148</f>
        <v>5</v>
      </c>
      <c r="E148" s="21" t="n">
        <f aca="false">calc!$K$148</f>
        <v>147</v>
      </c>
      <c r="F148" s="95" t="n">
        <f aca="false">calc!$AU$148</f>
        <v>394573.440732082</v>
      </c>
      <c r="G148" s="24" t="n">
        <f aca="false">calc!$AG$148</f>
        <v>8.1422501066627</v>
      </c>
      <c r="H148" s="96" t="n">
        <f aca="false">calc!$AH$148</f>
        <v>1.70731118740106</v>
      </c>
      <c r="I148" s="97" t="n">
        <f aca="false">H148*15</f>
        <v>25.6096678110159</v>
      </c>
    </row>
    <row r="149" customFormat="false" ht="17" hidden="false" customHeight="true" outlineLevel="0" collapsed="false">
      <c r="C149" s="21" t="n">
        <f aca="false">calc!$D$149</f>
        <v>28</v>
      </c>
      <c r="D149" s="21" t="n">
        <f aca="false">calc!$E$149</f>
        <v>5</v>
      </c>
      <c r="E149" s="21" t="n">
        <f aca="false">calc!$K$149</f>
        <v>148</v>
      </c>
      <c r="F149" s="95" t="n">
        <f aca="false">calc!$AU$149</f>
        <v>397826.006043283</v>
      </c>
      <c r="G149" s="24" t="n">
        <f aca="false">calc!$AG$149</f>
        <v>13.3486799204759</v>
      </c>
      <c r="H149" s="96" t="n">
        <f aca="false">calc!$AH$149</f>
        <v>2.4721005770666</v>
      </c>
      <c r="I149" s="97" t="n">
        <f aca="false">H149*15</f>
        <v>37.081508655999</v>
      </c>
    </row>
    <row r="150" customFormat="false" ht="17" hidden="false" customHeight="true" outlineLevel="0" collapsed="false">
      <c r="C150" s="21" t="n">
        <f aca="false">calc!$D$150</f>
        <v>29</v>
      </c>
      <c r="D150" s="21" t="n">
        <f aca="false">calc!$E$150</f>
        <v>5</v>
      </c>
      <c r="E150" s="21" t="n">
        <f aca="false">calc!$K$150</f>
        <v>149</v>
      </c>
      <c r="F150" s="95" t="n">
        <f aca="false">calc!$AU$150</f>
        <v>400603.096207182</v>
      </c>
      <c r="G150" s="24" t="n">
        <f aca="false">calc!$AG$150</f>
        <v>17.9581893000755</v>
      </c>
      <c r="H150" s="96" t="n">
        <f aca="false">calc!$AH$150</f>
        <v>3.2573211238755</v>
      </c>
      <c r="I150" s="97" t="n">
        <f aca="false">H150*15</f>
        <v>48.8598168581325</v>
      </c>
    </row>
    <row r="151" customFormat="false" ht="17" hidden="false" customHeight="true" outlineLevel="0" collapsed="false">
      <c r="C151" s="21" t="n">
        <f aca="false">calc!$D$151</f>
        <v>30</v>
      </c>
      <c r="D151" s="21" t="n">
        <f aca="false">calc!$E$151</f>
        <v>5</v>
      </c>
      <c r="E151" s="21" t="n">
        <f aca="false">calc!$K$151</f>
        <v>150</v>
      </c>
      <c r="F151" s="95" t="n">
        <f aca="false">calc!$AU$151</f>
        <v>402883.49164364</v>
      </c>
      <c r="G151" s="24" t="n">
        <f aca="false">calc!$AG$151</f>
        <v>21.7823937678402</v>
      </c>
      <c r="H151" s="96" t="n">
        <f aca="false">calc!$AH$151</f>
        <v>4.07090937454829</v>
      </c>
      <c r="I151" s="97" t="n">
        <f aca="false">H151*15</f>
        <v>61.0636406182243</v>
      </c>
    </row>
    <row r="152" customFormat="false" ht="17" hidden="false" customHeight="true" outlineLevel="0" collapsed="false">
      <c r="C152" s="21" t="n">
        <f aca="false">calc!$D$152</f>
        <v>31</v>
      </c>
      <c r="D152" s="21" t="n">
        <f aca="false">calc!$E$152</f>
        <v>5</v>
      </c>
      <c r="E152" s="21" t="n">
        <f aca="false">calc!$K$152</f>
        <v>151</v>
      </c>
      <c r="F152" s="95" t="n">
        <f aca="false">calc!$AU$152</f>
        <v>404625.368896386</v>
      </c>
      <c r="G152" s="24" t="n">
        <f aca="false">calc!$AG$152</f>
        <v>24.6445055295549</v>
      </c>
      <c r="H152" s="96" t="n">
        <f aca="false">calc!$AH$152</f>
        <v>4.91486572226932</v>
      </c>
      <c r="I152" s="97" t="n">
        <f aca="false">H152*15</f>
        <v>73.7229858340399</v>
      </c>
    </row>
    <row r="153" customFormat="false" ht="17" hidden="false" customHeight="true" outlineLevel="0" collapsed="false">
      <c r="C153" s="21" t="n">
        <f aca="false">calc!$D$153</f>
        <v>1</v>
      </c>
      <c r="D153" s="21" t="n">
        <f aca="false">calc!$E$153</f>
        <v>6</v>
      </c>
      <c r="E153" s="21" t="n">
        <f aca="false">calc!$K$153</f>
        <v>152</v>
      </c>
      <c r="F153" s="95" t="n">
        <f aca="false">calc!$AU$153</f>
        <v>405759.385620622</v>
      </c>
      <c r="G153" s="24" t="n">
        <f aca="false">calc!$AG$153</f>
        <v>26.3961982928671</v>
      </c>
      <c r="H153" s="96" t="n">
        <f aca="false">calc!$AH$153</f>
        <v>5.78408503571187</v>
      </c>
      <c r="I153" s="97" t="n">
        <f aca="false">H153*15</f>
        <v>86.7612755356781</v>
      </c>
    </row>
    <row r="154" customFormat="false" ht="17" hidden="false" customHeight="true" outlineLevel="0" collapsed="false">
      <c r="C154" s="21" t="n">
        <f aca="false">calc!$D$154</f>
        <v>2</v>
      </c>
      <c r="D154" s="21" t="n">
        <f aca="false">calc!$E$154</f>
        <v>6</v>
      </c>
      <c r="E154" s="21" t="n">
        <f aca="false">calc!$K$154</f>
        <v>153</v>
      </c>
      <c r="F154" s="95" t="n">
        <f aca="false">calc!$AU$154</f>
        <v>406190.339656717</v>
      </c>
      <c r="G154" s="24" t="n">
        <f aca="false">calc!$AG$154</f>
        <v>26.9401252318905</v>
      </c>
      <c r="H154" s="96" t="n">
        <f aca="false">calc!$AH$154</f>
        <v>6.66676791382054</v>
      </c>
      <c r="I154" s="97" t="n">
        <f aca="false">H154*15</f>
        <v>100.001518707308</v>
      </c>
    </row>
    <row r="155" customFormat="false" ht="17" hidden="false" customHeight="true" outlineLevel="0" collapsed="false">
      <c r="C155" s="21" t="n">
        <f aca="false">calc!$D$155</f>
        <v>3</v>
      </c>
      <c r="D155" s="21" t="n">
        <f aca="false">calc!$E$155</f>
        <v>6</v>
      </c>
      <c r="E155" s="21" t="n">
        <f aca="false">calc!$K$155</f>
        <v>154</v>
      </c>
      <c r="F155" s="95" t="n">
        <f aca="false">calc!$AU$155</f>
        <v>405807.186146146</v>
      </c>
      <c r="G155" s="24" t="n">
        <f aca="false">calc!$AG$155</f>
        <v>26.248636743887</v>
      </c>
      <c r="H155" s="96" t="n">
        <f aca="false">calc!$AH$155</f>
        <v>7.54728308679304</v>
      </c>
      <c r="I155" s="97" t="n">
        <f aca="false">H155*15</f>
        <v>113.209246301896</v>
      </c>
    </row>
    <row r="156" customFormat="false" ht="17" hidden="false" customHeight="true" outlineLevel="0" collapsed="false">
      <c r="C156" s="21" t="n">
        <f aca="false">calc!$D$156</f>
        <v>4</v>
      </c>
      <c r="D156" s="21" t="n">
        <f aca="false">calc!$E$156</f>
        <v>6</v>
      </c>
      <c r="E156" s="21" t="n">
        <f aca="false">calc!$K$156</f>
        <v>155</v>
      </c>
      <c r="F156" s="95" t="n">
        <f aca="false">calc!$AU$156</f>
        <v>404500.337438493</v>
      </c>
      <c r="G156" s="24" t="n">
        <f aca="false">calc!$AG$156</f>
        <v>24.367923467373</v>
      </c>
      <c r="H156" s="96" t="n">
        <f aca="false">calc!$AH$156</f>
        <v>8.41083993215882</v>
      </c>
      <c r="I156" s="97" t="n">
        <f aca="false">H156*15</f>
        <v>126.162598982382</v>
      </c>
    </row>
    <row r="157" customFormat="false" ht="17" hidden="false" customHeight="true" outlineLevel="0" collapsed="false">
      <c r="C157" s="21" t="n">
        <f aca="false">calc!$D$157</f>
        <v>5</v>
      </c>
      <c r="D157" s="21" t="n">
        <f aca="false">calc!$E$157</f>
        <v>6</v>
      </c>
      <c r="E157" s="21" t="n">
        <f aca="false">calc!$K$157</f>
        <v>156</v>
      </c>
      <c r="F157" s="95" t="n">
        <f aca="false">calc!$AU$157</f>
        <v>402184.080623005</v>
      </c>
      <c r="G157" s="24" t="n">
        <f aca="false">calc!$AG$157</f>
        <v>21.4039778224097</v>
      </c>
      <c r="H157" s="96" t="n">
        <f aca="false">calc!$AH$157</f>
        <v>9.24787256149856</v>
      </c>
      <c r="I157" s="97" t="n">
        <f aca="false">H157*15</f>
        <v>138.718088422478</v>
      </c>
    </row>
    <row r="158" customFormat="false" ht="17" hidden="false" customHeight="true" outlineLevel="0" collapsed="false">
      <c r="C158" s="21" t="n">
        <f aca="false">calc!$D$158</f>
        <v>6</v>
      </c>
      <c r="D158" s="21" t="n">
        <f aca="false">calc!$E$158</f>
        <v>6</v>
      </c>
      <c r="E158" s="21" t="n">
        <f aca="false">calc!$K$158</f>
        <v>157</v>
      </c>
      <c r="F158" s="95" t="n">
        <f aca="false">calc!$AU$158</f>
        <v>398821.040188714</v>
      </c>
      <c r="G158" s="24" t="n">
        <f aca="false">calc!$AG$158</f>
        <v>17.4978991644866</v>
      </c>
      <c r="H158" s="96" t="n">
        <f aca="false">calc!$AH$158</f>
        <v>10.0562740269696</v>
      </c>
      <c r="I158" s="97" t="n">
        <f aca="false">H158*15</f>
        <v>150.844110404544</v>
      </c>
    </row>
    <row r="159" customFormat="false" ht="17" hidden="false" customHeight="true" outlineLevel="0" collapsed="false">
      <c r="C159" s="21" t="n">
        <f aca="false">calc!$D$159</f>
        <v>7</v>
      </c>
      <c r="D159" s="21" t="n">
        <f aca="false">calc!$E$159</f>
        <v>6</v>
      </c>
      <c r="E159" s="21" t="n">
        <f aca="false">calc!$K$159</f>
        <v>158</v>
      </c>
      <c r="F159" s="95" t="n">
        <f aca="false">calc!$AU$159</f>
        <v>394445.543910187</v>
      </c>
      <c r="G159" s="24" t="n">
        <f aca="false">calc!$AG$159</f>
        <v>12.8036167263055</v>
      </c>
      <c r="H159" s="96" t="n">
        <f aca="false">calc!$AH$159</f>
        <v>10.8412678302573</v>
      </c>
      <c r="I159" s="97" t="n">
        <f aca="false">H159*15</f>
        <v>162.61901745386</v>
      </c>
    </row>
    <row r="160" customFormat="false" ht="17" hidden="false" customHeight="true" outlineLevel="0" collapsed="false">
      <c r="C160" s="21" t="n">
        <f aca="false">calc!$D$160</f>
        <v>8</v>
      </c>
      <c r="D160" s="21" t="n">
        <f aca="false">calc!$E$160</f>
        <v>6</v>
      </c>
      <c r="E160" s="21" t="n">
        <f aca="false">calc!$K$160</f>
        <v>159</v>
      </c>
      <c r="F160" s="95" t="n">
        <f aca="false">calc!$AU$160</f>
        <v>389183.436989976</v>
      </c>
      <c r="G160" s="24" t="n">
        <f aca="false">calc!$AG$160</f>
        <v>7.47816835057615</v>
      </c>
      <c r="H160" s="96" t="n">
        <f aca="false">calc!$AH$160</f>
        <v>11.6139877218377</v>
      </c>
      <c r="I160" s="97" t="n">
        <f aca="false">H160*15</f>
        <v>174.209815827566</v>
      </c>
    </row>
    <row r="161" customFormat="false" ht="17" hidden="false" customHeight="true" outlineLevel="0" collapsed="false">
      <c r="C161" s="21" t="n">
        <f aca="false">calc!$D$161</f>
        <v>9</v>
      </c>
      <c r="D161" s="21" t="n">
        <f aca="false">calc!$E$161</f>
        <v>6</v>
      </c>
      <c r="E161" s="21" t="n">
        <f aca="false">calc!$K$161</f>
        <v>160</v>
      </c>
      <c r="F161" s="95" t="n">
        <f aca="false">calc!$AU$161</f>
        <v>383266.11092113</v>
      </c>
      <c r="G161" s="24" t="n">
        <f aca="false">calc!$AG$161</f>
        <v>1.68818474801087</v>
      </c>
      <c r="H161" s="96" t="n">
        <f aca="false">calc!$AH$161</f>
        <v>12.3898987139112</v>
      </c>
      <c r="I161" s="97" t="n">
        <f aca="false">H161*15</f>
        <v>185.848480708667</v>
      </c>
    </row>
    <row r="162" customFormat="false" ht="17" hidden="false" customHeight="true" outlineLevel="0" collapsed="false">
      <c r="C162" s="21" t="n">
        <f aca="false">calc!$D$162</f>
        <v>10</v>
      </c>
      <c r="D162" s="21" t="n">
        <f aca="false">calc!$E$162</f>
        <v>6</v>
      </c>
      <c r="E162" s="21" t="n">
        <f aca="false">calc!$K$162</f>
        <v>161</v>
      </c>
      <c r="F162" s="95" t="n">
        <f aca="false">calc!$AU$162</f>
        <v>377035.006297354</v>
      </c>
      <c r="G162" s="24" t="n">
        <f aca="false">calc!$AG$162</f>
        <v>-4.36916191142535</v>
      </c>
      <c r="H162" s="96" t="n">
        <f aca="false">calc!$AH$162</f>
        <v>13.1875335258415</v>
      </c>
      <c r="I162" s="97" t="n">
        <f aca="false">H162*15</f>
        <v>197.813002887623</v>
      </c>
    </row>
    <row r="163" customFormat="false" ht="17" hidden="false" customHeight="true" outlineLevel="0" collapsed="false">
      <c r="C163" s="21" t="n">
        <f aca="false">calc!$D$163</f>
        <v>11</v>
      </c>
      <c r="D163" s="21" t="n">
        <f aca="false">calc!$E$163</f>
        <v>6</v>
      </c>
      <c r="E163" s="21" t="n">
        <f aca="false">calc!$K$163</f>
        <v>162</v>
      </c>
      <c r="F163" s="95" t="n">
        <f aca="false">calc!$AU$163</f>
        <v>370930.184280213</v>
      </c>
      <c r="G163" s="24" t="n">
        <f aca="false">calc!$AG$163</f>
        <v>-10.4364063831947</v>
      </c>
      <c r="H163" s="96" t="n">
        <f aca="false">calc!$AH$163</f>
        <v>14.027264021292</v>
      </c>
      <c r="I163" s="97" t="n">
        <f aca="false">H163*15</f>
        <v>210.40896031938</v>
      </c>
    </row>
    <row r="164" customFormat="false" ht="17" hidden="false" customHeight="true" outlineLevel="0" collapsed="false">
      <c r="C164" s="21" t="n">
        <f aca="false">calc!$D$164</f>
        <v>12</v>
      </c>
      <c r="D164" s="21" t="n">
        <f aca="false">calc!$E$164</f>
        <v>6</v>
      </c>
      <c r="E164" s="21" t="n">
        <f aca="false">calc!$K$164</f>
        <v>163</v>
      </c>
      <c r="F164" s="95" t="n">
        <f aca="false">calc!$AU$164</f>
        <v>365455.745758813</v>
      </c>
      <c r="G164" s="24" t="n">
        <f aca="false">calc!$AG$164</f>
        <v>-16.167495846524</v>
      </c>
      <c r="H164" s="96" t="n">
        <f aca="false">calc!$AH$164</f>
        <v>14.929126524329</v>
      </c>
      <c r="I164" s="97" t="n">
        <f aca="false">H164*15</f>
        <v>223.936897864936</v>
      </c>
    </row>
    <row r="165" customFormat="false" ht="17" hidden="false" customHeight="true" outlineLevel="0" collapsed="false">
      <c r="C165" s="21" t="n">
        <f aca="false">calc!$D$165</f>
        <v>13</v>
      </c>
      <c r="D165" s="21" t="n">
        <f aca="false">calc!$E$165</f>
        <v>6</v>
      </c>
      <c r="E165" s="21" t="n">
        <f aca="false">calc!$K$165</f>
        <v>164</v>
      </c>
      <c r="F165" s="95" t="n">
        <f aca="false">calc!$AU$165</f>
        <v>361119.342676537</v>
      </c>
      <c r="G165" s="24" t="n">
        <f aca="false">calc!$AG$165</f>
        <v>-21.1186965283633</v>
      </c>
      <c r="H165" s="96" t="n">
        <f aca="false">calc!$AH$165</f>
        <v>15.9081667118698</v>
      </c>
      <c r="I165" s="97" t="n">
        <f aca="false">H165*15</f>
        <v>238.622500678047</v>
      </c>
    </row>
    <row r="166" customFormat="false" ht="17" hidden="false" customHeight="true" outlineLevel="0" collapsed="false">
      <c r="C166" s="21" t="n">
        <f aca="false">calc!$D$166</f>
        <v>14</v>
      </c>
      <c r="D166" s="21" t="n">
        <f aca="false">calc!$E$166</f>
        <v>6</v>
      </c>
      <c r="E166" s="21" t="n">
        <f aca="false">calc!$K$166</f>
        <v>165</v>
      </c>
      <c r="F166" s="95" t="n">
        <f aca="false">calc!$AU$166</f>
        <v>358353.174278262</v>
      </c>
      <c r="G166" s="24" t="n">
        <f aca="false">calc!$AG$166</f>
        <v>-24.7854320420768</v>
      </c>
      <c r="H166" s="96" t="n">
        <f aca="false">calc!$AH$166</f>
        <v>16.9663178834361</v>
      </c>
      <c r="I166" s="97" t="n">
        <f aca="false">H166*15</f>
        <v>254.494768251541</v>
      </c>
    </row>
    <row r="167" customFormat="false" ht="17" hidden="false" customHeight="true" outlineLevel="0" collapsed="false">
      <c r="C167" s="21" t="n">
        <f aca="false">calc!$D$167</f>
        <v>15</v>
      </c>
      <c r="D167" s="21" t="n">
        <f aca="false">calc!$E$167</f>
        <v>6</v>
      </c>
      <c r="E167" s="21" t="n">
        <f aca="false">calc!$K$167</f>
        <v>166</v>
      </c>
      <c r="F167" s="95" t="n">
        <f aca="false">calc!$AU$167</f>
        <v>357435.249219385</v>
      </c>
      <c r="G167" s="24" t="n">
        <f aca="false">calc!$AG$167</f>
        <v>-26.708219359263</v>
      </c>
      <c r="H167" s="96" t="n">
        <f aca="false">calc!$AH$167</f>
        <v>18.0835965264262</v>
      </c>
      <c r="I167" s="97" t="n">
        <f aca="false">H167*15</f>
        <v>271.253947896393</v>
      </c>
    </row>
    <row r="168" customFormat="false" ht="17" hidden="false" customHeight="true" outlineLevel="0" collapsed="false">
      <c r="C168" s="21" t="n">
        <f aca="false">calc!$D$168</f>
        <v>16</v>
      </c>
      <c r="D168" s="21" t="n">
        <f aca="false">calc!$E$168</f>
        <v>6</v>
      </c>
      <c r="E168" s="21" t="n">
        <f aca="false">calc!$K$168</f>
        <v>167</v>
      </c>
      <c r="F168" s="95" t="n">
        <f aca="false">calc!$AU$168</f>
        <v>358435.130337605</v>
      </c>
      <c r="G168" s="24" t="n">
        <f aca="false">calc!$AG$168</f>
        <v>-26.6268465029397</v>
      </c>
      <c r="H168" s="96" t="n">
        <f aca="false">calc!$AH$168</f>
        <v>19.2175874062668</v>
      </c>
      <c r="I168" s="97" t="n">
        <f aca="false">H168*15</f>
        <v>288.263811094002</v>
      </c>
    </row>
    <row r="169" customFormat="false" ht="17" hidden="false" customHeight="true" outlineLevel="0" collapsed="false">
      <c r="C169" s="21" t="n">
        <f aca="false">calc!$D$169</f>
        <v>17</v>
      </c>
      <c r="D169" s="21" t="n">
        <f aca="false">calc!$E$169</f>
        <v>6</v>
      </c>
      <c r="E169" s="21" t="n">
        <f aca="false">calc!$K$169</f>
        <v>168</v>
      </c>
      <c r="F169" s="95" t="n">
        <f aca="false">calc!$AU$169</f>
        <v>361202.936005098</v>
      </c>
      <c r="G169" s="24" t="n">
        <f aca="false">calc!$AG$169</f>
        <v>-24.5886592018154</v>
      </c>
      <c r="H169" s="96" t="n">
        <f aca="false">calc!$AH$169</f>
        <v>20.3183097173806</v>
      </c>
      <c r="I169" s="97" t="n">
        <f aca="false">H169*15</f>
        <v>304.774645760709</v>
      </c>
    </row>
    <row r="170" customFormat="false" ht="17" hidden="false" customHeight="true" outlineLevel="0" collapsed="false">
      <c r="C170" s="21" t="n">
        <f aca="false">calc!$D$170</f>
        <v>18</v>
      </c>
      <c r="D170" s="21" t="n">
        <f aca="false">calc!$E$170</f>
        <v>6</v>
      </c>
      <c r="E170" s="21" t="n">
        <f aca="false">calc!$K$170</f>
        <v>169</v>
      </c>
      <c r="F170" s="95" t="n">
        <f aca="false">calc!$AU$170</f>
        <v>365405.483799588</v>
      </c>
      <c r="G170" s="24" t="n">
        <f aca="false">calc!$AG$170</f>
        <v>-20.9185777201011</v>
      </c>
      <c r="H170" s="96" t="n">
        <f aca="false">calc!$AH$170</f>
        <v>21.349430130543</v>
      </c>
      <c r="I170" s="97" t="n">
        <f aca="false">H170*15</f>
        <v>320.241451958145</v>
      </c>
    </row>
    <row r="171" customFormat="false" ht="17" hidden="false" customHeight="true" outlineLevel="0" collapsed="false">
      <c r="C171" s="21" t="n">
        <f aca="false">calc!$D$171</f>
        <v>19</v>
      </c>
      <c r="D171" s="21" t="n">
        <f aca="false">calc!$E$171</f>
        <v>6</v>
      </c>
      <c r="E171" s="21" t="n">
        <f aca="false">calc!$K$171</f>
        <v>170</v>
      </c>
      <c r="F171" s="95" t="n">
        <f aca="false">calc!$AU$171</f>
        <v>370596.582290645</v>
      </c>
      <c r="G171" s="24" t="n">
        <f aca="false">calc!$AG$171</f>
        <v>-16.0787042653159</v>
      </c>
      <c r="H171" s="96" t="n">
        <f aca="false">calc!$AH$171</f>
        <v>22.2984365825181</v>
      </c>
      <c r="I171" s="97" t="n">
        <f aca="false">H171*15</f>
        <v>334.476548737772</v>
      </c>
    </row>
    <row r="172" customFormat="false" ht="17" hidden="false" customHeight="true" outlineLevel="0" collapsed="false">
      <c r="C172" s="21" t="n">
        <f aca="false">calc!$D$172</f>
        <v>20</v>
      </c>
      <c r="D172" s="21" t="n">
        <f aca="false">calc!$E$172</f>
        <v>6</v>
      </c>
      <c r="E172" s="21" t="n">
        <f aca="false">calc!$K$172</f>
        <v>171</v>
      </c>
      <c r="F172" s="95" t="n">
        <f aca="false">calc!$AU$172</f>
        <v>376298.274668427</v>
      </c>
      <c r="G172" s="24" t="n">
        <f aca="false">calc!$AG$172</f>
        <v>-10.5287724454111</v>
      </c>
      <c r="H172" s="96" t="n">
        <f aca="false">calc!$AH$172</f>
        <v>23.1723715194501</v>
      </c>
      <c r="I172" s="97" t="n">
        <f aca="false">H172*15</f>
        <v>347.585572791751</v>
      </c>
    </row>
    <row r="173" customFormat="false" ht="17" hidden="false" customHeight="true" outlineLevel="0" collapsed="false">
      <c r="C173" s="21" t="n">
        <f aca="false">calc!$D$173</f>
        <v>21</v>
      </c>
      <c r="D173" s="21" t="n">
        <f aca="false">calc!$E$173</f>
        <v>6</v>
      </c>
      <c r="E173" s="21" t="n">
        <f aca="false">calc!$K$173</f>
        <v>172</v>
      </c>
      <c r="F173" s="95" t="n">
        <f aca="false">calc!$AU$173</f>
        <v>382070.563715431</v>
      </c>
      <c r="G173" s="24" t="n">
        <f aca="false">calc!$AG$173</f>
        <v>-4.65360831621986</v>
      </c>
      <c r="H173" s="96" t="n">
        <f aca="false">calc!$AH$173</f>
        <v>23.9885119296107</v>
      </c>
      <c r="I173" s="97" t="n">
        <f aca="false">H173*15</f>
        <v>359.82767894416</v>
      </c>
    </row>
    <row r="174" customFormat="false" ht="17" hidden="false" customHeight="true" outlineLevel="0" collapsed="false">
      <c r="C174" s="21" t="n">
        <f aca="false">calc!$D$174</f>
        <v>22</v>
      </c>
      <c r="D174" s="21" t="n">
        <f aca="false">calc!$E$174</f>
        <v>6</v>
      </c>
      <c r="E174" s="21" t="n">
        <f aca="false">calc!$K$174</f>
        <v>173</v>
      </c>
      <c r="F174" s="95" t="n">
        <f aca="false">calc!$AU$174</f>
        <v>387556.414325533</v>
      </c>
      <c r="G174" s="24" t="n">
        <f aca="false">calc!$AG$174</f>
        <v>1.24845414565438</v>
      </c>
      <c r="H174" s="96" t="n">
        <f aca="false">calc!$AH$174</f>
        <v>0.767279841062603</v>
      </c>
      <c r="I174" s="97" t="n">
        <f aca="false">H174*15</f>
        <v>11.509197615939</v>
      </c>
    </row>
    <row r="175" customFormat="false" ht="17" hidden="false" customHeight="true" outlineLevel="0" collapsed="false">
      <c r="C175" s="21" t="n">
        <f aca="false">calc!$D$175</f>
        <v>23</v>
      </c>
      <c r="D175" s="21" t="n">
        <f aca="false">calc!$E$175</f>
        <v>6</v>
      </c>
      <c r="E175" s="21" t="n">
        <f aca="false">calc!$K$175</f>
        <v>174</v>
      </c>
      <c r="F175" s="95" t="n">
        <f aca="false">calc!$AU$175</f>
        <v>392500.149380623</v>
      </c>
      <c r="G175" s="24" t="n">
        <f aca="false">calc!$AG$175</f>
        <v>6.94625341329533</v>
      </c>
      <c r="H175" s="96" t="n">
        <f aca="false">calc!$AH$175</f>
        <v>1.52858822320268</v>
      </c>
      <c r="I175" s="97" t="n">
        <f aca="false">H175*15</f>
        <v>22.9288233480402</v>
      </c>
    </row>
    <row r="176" customFormat="false" ht="17" hidden="false" customHeight="true" outlineLevel="0" collapsed="false">
      <c r="C176" s="21" t="n">
        <f aca="false">calc!$D$176</f>
        <v>24</v>
      </c>
      <c r="D176" s="21" t="n">
        <f aca="false">calc!$E$176</f>
        <v>6</v>
      </c>
      <c r="E176" s="21" t="n">
        <f aca="false">calc!$K$176</f>
        <v>175</v>
      </c>
      <c r="F176" s="95" t="n">
        <f aca="false">calc!$AU$176</f>
        <v>396744.966161603</v>
      </c>
      <c r="G176" s="24" t="n">
        <f aca="false">calc!$AG$176</f>
        <v>12.2484137944378</v>
      </c>
      <c r="H176" s="96" t="n">
        <f aca="false">calc!$AH$176</f>
        <v>2.29024657139771</v>
      </c>
      <c r="I176" s="97" t="n">
        <f aca="false">H176*15</f>
        <v>34.3536985709657</v>
      </c>
    </row>
    <row r="177" customFormat="false" ht="17" hidden="false" customHeight="true" outlineLevel="0" collapsed="false">
      <c r="C177" s="21" t="n">
        <f aca="false">calc!$D$177</f>
        <v>25</v>
      </c>
      <c r="D177" s="21" t="n">
        <f aca="false">calc!$E$177</f>
        <v>6</v>
      </c>
      <c r="E177" s="21" t="n">
        <f aca="false">calc!$K$177</f>
        <v>176</v>
      </c>
      <c r="F177" s="95" t="n">
        <f aca="false">calc!$AU$177</f>
        <v>400217.424431557</v>
      </c>
      <c r="G177" s="24" t="n">
        <f aca="false">calc!$AG$177</f>
        <v>16.979960395643</v>
      </c>
      <c r="H177" s="96" t="n">
        <f aca="false">calc!$AH$177</f>
        <v>3.06701156244193</v>
      </c>
      <c r="I177" s="97" t="n">
        <f aca="false">H177*15</f>
        <v>46.005173436629</v>
      </c>
    </row>
    <row r="178" customFormat="false" ht="17" hidden="false" customHeight="true" outlineLevel="0" collapsed="false">
      <c r="C178" s="21" t="n">
        <f aca="false">calc!$D$178</f>
        <v>26</v>
      </c>
      <c r="D178" s="21" t="n">
        <f aca="false">calc!$E$178</f>
        <v>6</v>
      </c>
      <c r="E178" s="21" t="n">
        <f aca="false">calc!$K$178</f>
        <v>177</v>
      </c>
      <c r="F178" s="95" t="n">
        <f aca="false">calc!$AU$178</f>
        <v>402905.307631249</v>
      </c>
      <c r="G178" s="24" t="n">
        <f aca="false">calc!$AG$178</f>
        <v>20.9688056469029</v>
      </c>
      <c r="H178" s="96" t="n">
        <f aca="false">calc!$AH$178</f>
        <v>3.86945005073086</v>
      </c>
      <c r="I178" s="97" t="n">
        <f aca="false">H178*15</f>
        <v>58.041750760963</v>
      </c>
    </row>
    <row r="179" customFormat="false" ht="17" hidden="false" customHeight="true" outlineLevel="0" collapsed="false">
      <c r="C179" s="21" t="n">
        <f aca="false">calc!$D$179</f>
        <v>27</v>
      </c>
      <c r="D179" s="21" t="n">
        <f aca="false">calc!$E$179</f>
        <v>6</v>
      </c>
      <c r="E179" s="21" t="n">
        <f aca="false">calc!$K$179</f>
        <v>178</v>
      </c>
      <c r="F179" s="95" t="n">
        <f aca="false">calc!$AU$179</f>
        <v>404833.171800299</v>
      </c>
      <c r="G179" s="24" t="n">
        <f aca="false">calc!$AG$179</f>
        <v>24.0451466569038</v>
      </c>
      <c r="H179" s="96" t="n">
        <f aca="false">calc!$AH$179</f>
        <v>4.70239418769795</v>
      </c>
      <c r="I179" s="97" t="n">
        <f aca="false">H179*15</f>
        <v>70.5359128154693</v>
      </c>
    </row>
    <row r="180" customFormat="false" ht="17" hidden="false" customHeight="true" outlineLevel="0" collapsed="false">
      <c r="C180" s="21" t="n">
        <f aca="false">calc!$D$180</f>
        <v>28</v>
      </c>
      <c r="D180" s="21" t="n">
        <f aca="false">calc!$E$180</f>
        <v>6</v>
      </c>
      <c r="E180" s="21" t="n">
        <f aca="false">calc!$K$180</f>
        <v>179</v>
      </c>
      <c r="F180" s="95" t="n">
        <f aca="false">calc!$AU$180</f>
        <v>406038.77195661</v>
      </c>
      <c r="G180" s="24" t="n">
        <f aca="false">calc!$AG$180</f>
        <v>26.0545847780943</v>
      </c>
      <c r="H180" s="96" t="n">
        <f aca="false">calc!$AH$180</f>
        <v>5.56346108419861</v>
      </c>
      <c r="I180" s="97" t="n">
        <f aca="false">H180*15</f>
        <v>83.4519162629792</v>
      </c>
    </row>
    <row r="181" customFormat="false" ht="17" hidden="false" customHeight="true" outlineLevel="0" collapsed="false">
      <c r="C181" s="21" t="n">
        <f aca="false">calc!$D$181</f>
        <v>29</v>
      </c>
      <c r="D181" s="21" t="n">
        <f aca="false">calc!$E$181</f>
        <v>6</v>
      </c>
      <c r="E181" s="21" t="n">
        <f aca="false">calc!$K$181</f>
        <v>180</v>
      </c>
      <c r="F181" s="95" t="n">
        <f aca="false">calc!$AU$181</f>
        <v>406553.24922143</v>
      </c>
      <c r="G181" s="24" t="n">
        <f aca="false">calc!$AG$181</f>
        <v>26.8817372458605</v>
      </c>
      <c r="H181" s="96" t="n">
        <f aca="false">calc!$AH$181</f>
        <v>6.4427806484532</v>
      </c>
      <c r="I181" s="97" t="n">
        <f aca="false">H181*15</f>
        <v>96.6417097267979</v>
      </c>
    </row>
    <row r="182" customFormat="false" ht="17" hidden="false" customHeight="true" outlineLevel="0" collapsed="false">
      <c r="C182" s="21" t="n">
        <f aca="false">calc!$D$182</f>
        <v>30</v>
      </c>
      <c r="D182" s="21" t="n">
        <f aca="false">calc!$E$182</f>
        <v>6</v>
      </c>
      <c r="E182" s="21" t="n">
        <f aca="false">calc!$K$182</f>
        <v>181</v>
      </c>
      <c r="F182" s="95" t="n">
        <f aca="false">calc!$AU$182</f>
        <v>406387.6627432</v>
      </c>
      <c r="G182" s="24" t="n">
        <f aca="false">calc!$AG$182</f>
        <v>26.4751153862334</v>
      </c>
      <c r="H182" s="96" t="n">
        <f aca="false">calc!$AH$182</f>
        <v>7.32509467946713</v>
      </c>
      <c r="I182" s="97" t="n">
        <f aca="false">H182*15</f>
        <v>109.876420192007</v>
      </c>
    </row>
    <row r="183" customFormat="false" ht="17" hidden="false" customHeight="true" outlineLevel="0" collapsed="false">
      <c r="C183" s="21" t="n">
        <f aca="false">calc!$D$183</f>
        <v>1</v>
      </c>
      <c r="D183" s="21" t="n">
        <f aca="false">calc!$E$183</f>
        <v>7</v>
      </c>
      <c r="E183" s="21" t="n">
        <f aca="false">calc!$K$183</f>
        <v>182</v>
      </c>
      <c r="F183" s="95" t="n">
        <f aca="false">calc!$AU$183</f>
        <v>405527.713896393</v>
      </c>
      <c r="G183" s="24" t="n">
        <f aca="false">calc!$AG$183</f>
        <v>24.8605163491548</v>
      </c>
      <c r="H183" s="96" t="n">
        <f aca="false">calc!$AH$183</f>
        <v>8.19415445132702</v>
      </c>
      <c r="I183" s="97" t="n">
        <f aca="false">H183*15</f>
        <v>122.912316769905</v>
      </c>
    </row>
    <row r="184" customFormat="false" ht="17" hidden="false" customHeight="true" outlineLevel="0" collapsed="false">
      <c r="C184" s="21" t="n">
        <f aca="false">calc!$D$184</f>
        <v>2</v>
      </c>
      <c r="D184" s="21" t="n">
        <f aca="false">calc!$E$184</f>
        <v>7</v>
      </c>
      <c r="E184" s="21" t="n">
        <f aca="false">calc!$K$184</f>
        <v>183</v>
      </c>
      <c r="F184" s="95" t="n">
        <f aca="false">calc!$AU$184</f>
        <v>403937.407494855</v>
      </c>
      <c r="G184" s="24" t="n">
        <f aca="false">calc!$AG$184</f>
        <v>22.1349129400902</v>
      </c>
      <c r="H184" s="96" t="n">
        <f aca="false">calc!$AH$184</f>
        <v>9.03759622734308</v>
      </c>
      <c r="I184" s="97" t="n">
        <f aca="false">H184*15</f>
        <v>135.563943410146</v>
      </c>
    </row>
    <row r="185" customFormat="false" ht="17" hidden="false" customHeight="true" outlineLevel="0" collapsed="false">
      <c r="C185" s="21" t="n">
        <f aca="false">calc!$D$185</f>
        <v>3</v>
      </c>
      <c r="D185" s="21" t="n">
        <f aca="false">calc!$E$185</f>
        <v>7</v>
      </c>
      <c r="E185" s="21" t="n">
        <f aca="false">calc!$K$185</f>
        <v>184</v>
      </c>
      <c r="F185" s="95" t="n">
        <f aca="false">calc!$AU$185</f>
        <v>401571.149099744</v>
      </c>
      <c r="G185" s="24" t="n">
        <f aca="false">calc!$AG$185</f>
        <v>18.4442356886877</v>
      </c>
      <c r="H185" s="96" t="n">
        <f aca="false">calc!$AH$185</f>
        <v>9.85007252714067</v>
      </c>
      <c r="I185" s="97" t="n">
        <f aca="false">H185*15</f>
        <v>147.75108790711</v>
      </c>
    </row>
    <row r="186" customFormat="false" ht="17" hidden="false" customHeight="true" outlineLevel="0" collapsed="false">
      <c r="C186" s="21" t="n">
        <f aca="false">calc!$D$186</f>
        <v>4</v>
      </c>
      <c r="D186" s="21" t="n">
        <f aca="false">calc!$E$186</f>
        <v>7</v>
      </c>
      <c r="E186" s="21" t="n">
        <f aca="false">calc!$K$186</f>
        <v>185</v>
      </c>
      <c r="F186" s="95" t="n">
        <f aca="false">calc!$AU$186</f>
        <v>398392.594201037</v>
      </c>
      <c r="G186" s="24" t="n">
        <f aca="false">calc!$AG$186</f>
        <v>13.9569583510823</v>
      </c>
      <c r="H186" s="96" t="n">
        <f aca="false">calc!$AH$186</f>
        <v>10.6338429464623</v>
      </c>
      <c r="I186" s="97" t="n">
        <f aca="false">H186*15</f>
        <v>159.507644196934</v>
      </c>
    </row>
    <row r="187" customFormat="false" ht="17" hidden="false" customHeight="true" outlineLevel="0" collapsed="false">
      <c r="C187" s="21" t="n">
        <f aca="false">calc!$D$187</f>
        <v>5</v>
      </c>
      <c r="D187" s="21" t="n">
        <f aca="false">calc!$E$187</f>
        <v>7</v>
      </c>
      <c r="E187" s="21" t="n">
        <f aca="false">calc!$K$187</f>
        <v>186</v>
      </c>
      <c r="F187" s="95" t="n">
        <f aca="false">calc!$AU$187</f>
        <v>394397.713933049</v>
      </c>
      <c r="G187" s="24" t="n">
        <f aca="false">calc!$AG$187</f>
        <v>8.84515778700014</v>
      </c>
      <c r="H187" s="96" t="n">
        <f aca="false">calc!$AH$187</f>
        <v>11.3976481607974</v>
      </c>
      <c r="I187" s="97" t="n">
        <f aca="false">H187*15</f>
        <v>170.964722411962</v>
      </c>
    </row>
    <row r="188" customFormat="false" ht="17" hidden="false" customHeight="true" outlineLevel="0" collapsed="false">
      <c r="C188" s="21" t="n">
        <f aca="false">calc!$D$188</f>
        <v>6</v>
      </c>
      <c r="D188" s="21" t="n">
        <f aca="false">calc!$E$188</f>
        <v>7</v>
      </c>
      <c r="E188" s="21" t="n">
        <f aca="false">calc!$K$188</f>
        <v>187</v>
      </c>
      <c r="F188" s="95" t="n">
        <f aca="false">calc!$AU$188</f>
        <v>389639.223429059</v>
      </c>
      <c r="G188" s="24" t="n">
        <f aca="false">calc!$AG$188</f>
        <v>3.27923570843731</v>
      </c>
      <c r="H188" s="96" t="n">
        <f aca="false">calc!$AH$188</f>
        <v>12.1551298371491</v>
      </c>
      <c r="I188" s="97" t="n">
        <f aca="false">H188*15</f>
        <v>182.326947557237</v>
      </c>
    </row>
    <row r="189" customFormat="false" ht="17" hidden="false" customHeight="true" outlineLevel="0" collapsed="false">
      <c r="C189" s="21" t="n">
        <f aca="false">calc!$D$189</f>
        <v>7</v>
      </c>
      <c r="D189" s="21" t="n">
        <f aca="false">calc!$E$189</f>
        <v>7</v>
      </c>
      <c r="E189" s="21" t="n">
        <f aca="false">calc!$K$189</f>
        <v>188</v>
      </c>
      <c r="F189" s="95" t="n">
        <f aca="false">calc!$AU$189</f>
        <v>384249.428940229</v>
      </c>
      <c r="G189" s="24" t="n">
        <f aca="false">calc!$AG$189</f>
        <v>-2.56254737055676</v>
      </c>
      <c r="H189" s="96" t="n">
        <f aca="false">calc!$AH$189</f>
        <v>12.9235339435186</v>
      </c>
      <c r="I189" s="97" t="n">
        <f aca="false">H189*15</f>
        <v>193.853009152779</v>
      </c>
    </row>
    <row r="190" customFormat="false" ht="17" hidden="false" customHeight="true" outlineLevel="0" collapsed="false">
      <c r="C190" s="21" t="n">
        <f aca="false">calc!$D$190</f>
        <v>8</v>
      </c>
      <c r="D190" s="21" t="n">
        <f aca="false">calc!$E$190</f>
        <v>7</v>
      </c>
      <c r="E190" s="21" t="n">
        <f aca="false">calc!$K$190</f>
        <v>189</v>
      </c>
      <c r="F190" s="95" t="n">
        <f aca="false">calc!$AU$190</f>
        <v>378457.813365771</v>
      </c>
      <c r="G190" s="24" t="n">
        <f aca="false">calc!$AG$190</f>
        <v>-8.4716758534733</v>
      </c>
      <c r="H190" s="96" t="n">
        <f aca="false">calc!$AH$190</f>
        <v>13.7227008378925</v>
      </c>
      <c r="I190" s="97" t="n">
        <f aca="false">H190*15</f>
        <v>205.840512568388</v>
      </c>
    </row>
    <row r="191" customFormat="false" ht="17" hidden="false" customHeight="true" outlineLevel="0" collapsed="false">
      <c r="C191" s="21" t="n">
        <f aca="false">calc!$D$191</f>
        <v>9</v>
      </c>
      <c r="D191" s="21" t="n">
        <f aca="false">calc!$E$191</f>
        <v>7</v>
      </c>
      <c r="E191" s="21" t="n">
        <f aca="false">calc!$K$191</f>
        <v>190</v>
      </c>
      <c r="F191" s="95" t="n">
        <f aca="false">calc!$AU$191</f>
        <v>372597.748217963</v>
      </c>
      <c r="G191" s="24" t="n">
        <f aca="false">calc!$AG$191</f>
        <v>-14.1791894240182</v>
      </c>
      <c r="H191" s="96" t="n">
        <f aca="false">calc!$AH$191</f>
        <v>14.5737015544015</v>
      </c>
      <c r="I191" s="97" t="n">
        <f aca="false">H191*15</f>
        <v>218.605523316023</v>
      </c>
    </row>
    <row r="192" customFormat="false" ht="17" hidden="false" customHeight="true" outlineLevel="0" collapsed="false">
      <c r="C192" s="21" t="n">
        <f aca="false">calc!$D$192</f>
        <v>10</v>
      </c>
      <c r="D192" s="21" t="n">
        <f aca="false">calc!$E$192</f>
        <v>7</v>
      </c>
      <c r="E192" s="21" t="n">
        <f aca="false">calc!$K$192</f>
        <v>191</v>
      </c>
      <c r="F192" s="95" t="n">
        <f aca="false">calc!$AU$192</f>
        <v>367094.670091275</v>
      </c>
      <c r="G192" s="24" t="n">
        <f aca="false">calc!$AG$192</f>
        <v>-19.3286887479976</v>
      </c>
      <c r="H192" s="96" t="n">
        <f aca="false">calc!$AH$192</f>
        <v>15.4958690644247</v>
      </c>
      <c r="I192" s="97" t="n">
        <f aca="false">H192*15</f>
        <v>232.438035966371</v>
      </c>
    </row>
    <row r="193" customFormat="false" ht="17" hidden="false" customHeight="true" outlineLevel="0" collapsed="false">
      <c r="C193" s="21" t="n">
        <f aca="false">calc!$D$193</f>
        <v>11</v>
      </c>
      <c r="D193" s="21" t="n">
        <f aca="false">calc!$E$193</f>
        <v>7</v>
      </c>
      <c r="E193" s="21" t="n">
        <f aca="false">calc!$K$193</f>
        <v>192</v>
      </c>
      <c r="F193" s="95" t="n">
        <f aca="false">calc!$AU$193</f>
        <v>362428.730253864</v>
      </c>
      <c r="G193" s="24" t="n">
        <f aca="false">calc!$AG$193</f>
        <v>-23.4738893085812</v>
      </c>
      <c r="H193" s="96" t="n">
        <f aca="false">calc!$AH$193</f>
        <v>16.500688936608</v>
      </c>
      <c r="I193" s="97" t="n">
        <f aca="false">H193*15</f>
        <v>247.51033404912</v>
      </c>
    </row>
    <row r="194" customFormat="false" ht="17" hidden="false" customHeight="true" outlineLevel="0" collapsed="false">
      <c r="C194" s="21" t="n">
        <f aca="false">calc!$D$194</f>
        <v>12</v>
      </c>
      <c r="D194" s="21" t="n">
        <f aca="false">calc!$E$194</f>
        <v>7</v>
      </c>
      <c r="E194" s="21" t="n">
        <f aca="false">calc!$K$194</f>
        <v>193</v>
      </c>
      <c r="F194" s="95" t="n">
        <f aca="false">calc!$AU$194</f>
        <v>359070.942342923</v>
      </c>
      <c r="G194" s="24" t="n">
        <f aca="false">calc!$AG$194</f>
        <v>-26.1318382007873</v>
      </c>
      <c r="H194" s="96" t="n">
        <f aca="false">calc!$AH$194</f>
        <v>17.5825901517742</v>
      </c>
      <c r="I194" s="97" t="n">
        <f aca="false">H194*15</f>
        <v>263.738852276612</v>
      </c>
    </row>
    <row r="195" customFormat="false" ht="17" hidden="false" customHeight="true" outlineLevel="0" collapsed="false">
      <c r="C195" s="21" t="n">
        <f aca="false">calc!$D$195</f>
        <v>13</v>
      </c>
      <c r="D195" s="21" t="n">
        <f aca="false">calc!$E$195</f>
        <v>7</v>
      </c>
      <c r="E195" s="21" t="n">
        <f aca="false">calc!$K$195</f>
        <v>194</v>
      </c>
      <c r="F195" s="95" t="n">
        <f aca="false">calc!$AU$195</f>
        <v>357402.676786795</v>
      </c>
      <c r="G195" s="24" t="n">
        <f aca="false">calc!$AG$195</f>
        <v>-26.9095033838329</v>
      </c>
      <c r="H195" s="96" t="n">
        <f aca="false">calc!$AH$195</f>
        <v>18.7120027135116</v>
      </c>
      <c r="I195" s="97" t="n">
        <f aca="false">H195*15</f>
        <v>280.680040702674</v>
      </c>
    </row>
    <row r="196" customFormat="false" ht="17" hidden="false" customHeight="true" outlineLevel="0" collapsed="false">
      <c r="C196" s="21" t="n">
        <f aca="false">calc!$D$196</f>
        <v>14</v>
      </c>
      <c r="D196" s="21" t="n">
        <f aca="false">calc!$E$196</f>
        <v>7</v>
      </c>
      <c r="E196" s="21" t="n">
        <f aca="false">calc!$K$196</f>
        <v>195</v>
      </c>
      <c r="F196" s="95" t="n">
        <f aca="false">calc!$AU$196</f>
        <v>357639.071958157</v>
      </c>
      <c r="G196" s="24" t="n">
        <f aca="false">calc!$AG$196</f>
        <v>-25.6584547972035</v>
      </c>
      <c r="H196" s="96" t="n">
        <f aca="false">calc!$AH$196</f>
        <v>19.8407993714144</v>
      </c>
      <c r="I196" s="97" t="n">
        <f aca="false">H196*15</f>
        <v>297.611990571216</v>
      </c>
    </row>
    <row r="197" customFormat="false" ht="17" hidden="false" customHeight="true" outlineLevel="0" collapsed="false">
      <c r="C197" s="21" t="n">
        <f aca="false">calc!$D$197</f>
        <v>15</v>
      </c>
      <c r="D197" s="21" t="n">
        <f aca="false">calc!$E$197</f>
        <v>7</v>
      </c>
      <c r="E197" s="21" t="n">
        <f aca="false">calc!$K$197</f>
        <v>196</v>
      </c>
      <c r="F197" s="95" t="n">
        <f aca="false">calc!$AU$197</f>
        <v>359780.664376572</v>
      </c>
      <c r="G197" s="24" t="n">
        <f aca="false">calc!$AG$197</f>
        <v>-22.5463888292612</v>
      </c>
      <c r="H197" s="96" t="n">
        <f aca="false">calc!$AH$197</f>
        <v>20.9219132823013</v>
      </c>
      <c r="I197" s="97" t="n">
        <f aca="false">H197*15</f>
        <v>313.82869923452</v>
      </c>
    </row>
    <row r="198" customFormat="false" ht="17" hidden="false" customHeight="true" outlineLevel="0" collapsed="false">
      <c r="C198" s="21" t="n">
        <f aca="false">calc!$D$198</f>
        <v>16</v>
      </c>
      <c r="D198" s="21" t="n">
        <f aca="false">calc!$E$198</f>
        <v>7</v>
      </c>
      <c r="E198" s="21" t="n">
        <f aca="false">calc!$K$198</f>
        <v>197</v>
      </c>
      <c r="F198" s="95" t="n">
        <f aca="false">calc!$AU$198</f>
        <v>363610.259844282</v>
      </c>
      <c r="G198" s="24" t="n">
        <f aca="false">calc!$AG$198</f>
        <v>-17.9827706815501</v>
      </c>
      <c r="H198" s="96" t="n">
        <f aca="false">calc!$AH$198</f>
        <v>21.9279457139749</v>
      </c>
      <c r="I198" s="97" t="n">
        <f aca="false">H198*15</f>
        <v>328.919185709624</v>
      </c>
    </row>
    <row r="199" customFormat="false" ht="17" hidden="false" customHeight="true" outlineLevel="0" collapsed="false">
      <c r="C199" s="21" t="n">
        <f aca="false">calc!$D$199</f>
        <v>17</v>
      </c>
      <c r="D199" s="21" t="n">
        <f aca="false">calc!$E$199</f>
        <v>7</v>
      </c>
      <c r="E199" s="21" t="n">
        <f aca="false">calc!$K$199</f>
        <v>198</v>
      </c>
      <c r="F199" s="95" t="n">
        <f aca="false">calc!$AU$199</f>
        <v>368736.197172595</v>
      </c>
      <c r="G199" s="24" t="n">
        <f aca="false">calc!$AG$199</f>
        <v>-12.4671696847176</v>
      </c>
      <c r="H199" s="96" t="n">
        <f aca="false">calc!$AH$199</f>
        <v>22.8549319113449</v>
      </c>
      <c r="I199" s="97" t="n">
        <f aca="false">H199*15</f>
        <v>342.823978670174</v>
      </c>
    </row>
    <row r="200" customFormat="false" ht="17" hidden="false" customHeight="true" outlineLevel="0" collapsed="false">
      <c r="C200" s="21" t="n">
        <f aca="false">calc!$D$200</f>
        <v>18</v>
      </c>
      <c r="D200" s="21" t="n">
        <f aca="false">calc!$E$200</f>
        <v>7</v>
      </c>
      <c r="E200" s="21" t="n">
        <f aca="false">calc!$K$200</f>
        <v>199</v>
      </c>
      <c r="F200" s="95" t="n">
        <f aca="false">calc!$AU$200</f>
        <v>374666.681639144</v>
      </c>
      <c r="G200" s="24" t="n">
        <f aca="false">calc!$AG$200</f>
        <v>-6.46657408937693</v>
      </c>
      <c r="H200" s="96" t="n">
        <f aca="false">calc!$AH$200</f>
        <v>23.714742902857</v>
      </c>
      <c r="I200" s="97" t="n">
        <f aca="false">H200*15</f>
        <v>355.721143542856</v>
      </c>
    </row>
    <row r="201" customFormat="false" ht="17" hidden="false" customHeight="true" outlineLevel="0" collapsed="false">
      <c r="C201" s="21" t="n">
        <f aca="false">calc!$D$201</f>
        <v>19</v>
      </c>
      <c r="D201" s="21" t="n">
        <f aca="false">calc!$E$201</f>
        <v>7</v>
      </c>
      <c r="E201" s="21" t="n">
        <f aca="false">calc!$K$201</f>
        <v>200</v>
      </c>
      <c r="F201" s="95" t="n">
        <f aca="false">calc!$AU$201</f>
        <v>380891.238640634</v>
      </c>
      <c r="G201" s="24" t="n">
        <f aca="false">calc!$AG$201</f>
        <v>-0.360796424570041</v>
      </c>
      <c r="H201" s="96" t="n">
        <f aca="false">calc!$AH$201</f>
        <v>0.526169538373832</v>
      </c>
      <c r="I201" s="97" t="n">
        <f aca="false">H201*15</f>
        <v>7.89254307560747</v>
      </c>
    </row>
    <row r="202" customFormat="false" ht="17" hidden="false" customHeight="true" outlineLevel="0" collapsed="false">
      <c r="C202" s="21" t="n">
        <f aca="false">calc!$D$202</f>
        <v>20</v>
      </c>
      <c r="D202" s="21" t="n">
        <f aca="false">calc!$E$202</f>
        <v>7</v>
      </c>
      <c r="E202" s="21" t="n">
        <f aca="false">calc!$K$202</f>
        <v>201</v>
      </c>
      <c r="F202" s="95" t="n">
        <f aca="false">calc!$AU$202</f>
        <v>386947.951901665</v>
      </c>
      <c r="G202" s="24" t="n">
        <f aca="false">calc!$AG$202</f>
        <v>5.56091106786817</v>
      </c>
      <c r="H202" s="96" t="n">
        <f aca="false">calc!$AH$202</f>
        <v>1.30933146643999</v>
      </c>
      <c r="I202" s="97" t="n">
        <f aca="false">H202*15</f>
        <v>19.6399719965999</v>
      </c>
    </row>
    <row r="203" customFormat="false" ht="17" hidden="false" customHeight="true" outlineLevel="0" collapsed="false">
      <c r="C203" s="21" t="n">
        <f aca="false">calc!$D$203</f>
        <v>21</v>
      </c>
      <c r="D203" s="21" t="n">
        <f aca="false">calc!$E$203</f>
        <v>7</v>
      </c>
      <c r="E203" s="21" t="n">
        <f aca="false">calc!$K$203</f>
        <v>202</v>
      </c>
      <c r="F203" s="95" t="n">
        <f aca="false">calc!$AU$203</f>
        <v>392465.58924711</v>
      </c>
      <c r="G203" s="24" t="n">
        <f aca="false">calc!$AG$203</f>
        <v>11.078617884529</v>
      </c>
      <c r="H203" s="96" t="n">
        <f aca="false">calc!$AH$203</f>
        <v>2.08306475528764</v>
      </c>
      <c r="I203" s="97" t="n">
        <f aca="false">H203*15</f>
        <v>31.2459713293146</v>
      </c>
    </row>
    <row r="204" customFormat="false" ht="17" hidden="false" customHeight="true" outlineLevel="0" collapsed="false">
      <c r="C204" s="21" t="n">
        <f aca="false">calc!$D$204</f>
        <v>22</v>
      </c>
      <c r="D204" s="21" t="n">
        <f aca="false">calc!$E$204</f>
        <v>7</v>
      </c>
      <c r="E204" s="21" t="n">
        <f aca="false">calc!$K$204</f>
        <v>203</v>
      </c>
      <c r="F204" s="95" t="n">
        <f aca="false">calc!$AU$204</f>
        <v>397180.882842866</v>
      </c>
      <c r="G204" s="24" t="n">
        <f aca="false">calc!$AG$204</f>
        <v>16.0140043515546</v>
      </c>
      <c r="H204" s="96" t="n">
        <f aca="false">calc!$AH$204</f>
        <v>2.8636688078627</v>
      </c>
      <c r="I204" s="97" t="n">
        <f aca="false">H204*15</f>
        <v>42.9550321179405</v>
      </c>
    </row>
    <row r="205" customFormat="false" ht="17" hidden="false" customHeight="true" outlineLevel="0" collapsed="false">
      <c r="C205" s="21" t="n">
        <f aca="false">calc!$D$205</f>
        <v>23</v>
      </c>
      <c r="D205" s="21" t="n">
        <f aca="false">calc!$E$205</f>
        <v>7</v>
      </c>
      <c r="E205" s="21" t="n">
        <f aca="false">calc!$K$205</f>
        <v>204</v>
      </c>
      <c r="F205" s="95" t="n">
        <f aca="false">calc!$AU$205</f>
        <v>400937.530658222</v>
      </c>
      <c r="G205" s="24" t="n">
        <f aca="false">calc!$AG$205</f>
        <v>20.206921372185</v>
      </c>
      <c r="H205" s="96" t="n">
        <f aca="false">calc!$AH$205</f>
        <v>3.66379755517146</v>
      </c>
      <c r="I205" s="97" t="n">
        <f aca="false">H205*15</f>
        <v>54.9569633275719</v>
      </c>
    </row>
    <row r="206" customFormat="false" ht="17" hidden="false" customHeight="true" outlineLevel="0" collapsed="false">
      <c r="C206" s="21" t="n">
        <f aca="false">calc!$D$206</f>
        <v>24</v>
      </c>
      <c r="D206" s="21" t="n">
        <f aca="false">calc!$E$206</f>
        <v>7</v>
      </c>
      <c r="E206" s="21" t="n">
        <f aca="false">calc!$K$206</f>
        <v>205</v>
      </c>
      <c r="F206" s="95" t="n">
        <f aca="false">calc!$AU$206</f>
        <v>403673.983843683</v>
      </c>
      <c r="G206" s="24" t="n">
        <f aca="false">calc!$AG$206</f>
        <v>23.5030904169286</v>
      </c>
      <c r="H206" s="96" t="n">
        <f aca="false">calc!$AH$206</f>
        <v>4.49097263393127</v>
      </c>
      <c r="I206" s="97" t="n">
        <f aca="false">H206*15</f>
        <v>67.3645895089691</v>
      </c>
    </row>
    <row r="207" customFormat="false" ht="17" hidden="false" customHeight="true" outlineLevel="0" collapsed="false">
      <c r="C207" s="21" t="n">
        <f aca="false">calc!$D$207</f>
        <v>25</v>
      </c>
      <c r="D207" s="21" t="n">
        <f aca="false">calc!$E$207</f>
        <v>7</v>
      </c>
      <c r="E207" s="21" t="n">
        <f aca="false">calc!$K$207</f>
        <v>206</v>
      </c>
      <c r="F207" s="95" t="n">
        <f aca="false">calc!$AU$207</f>
        <v>405404.65048378</v>
      </c>
      <c r="G207" s="24" t="n">
        <f aca="false">calc!$AG$207</f>
        <v>25.7569334736994</v>
      </c>
      <c r="H207" s="96" t="n">
        <f aca="false">calc!$AH$207</f>
        <v>5.34593313334521</v>
      </c>
      <c r="I207" s="97" t="n">
        <f aca="false">H207*15</f>
        <v>80.1889970001781</v>
      </c>
    </row>
    <row r="208" customFormat="false" ht="17" hidden="false" customHeight="true" outlineLevel="0" collapsed="false">
      <c r="C208" s="21" t="n">
        <f aca="false">calc!$D$208</f>
        <v>26</v>
      </c>
      <c r="D208" s="21" t="n">
        <f aca="false">calc!$E$208</f>
        <v>7</v>
      </c>
      <c r="E208" s="21" t="n">
        <f aca="false">calc!$K$208</f>
        <v>207</v>
      </c>
      <c r="F208" s="95" t="n">
        <f aca="false">calc!$AU$208</f>
        <v>406197.159657042</v>
      </c>
      <c r="G208" s="24" t="n">
        <f aca="false">calc!$AG$208</f>
        <v>26.8490897830227</v>
      </c>
      <c r="H208" s="96" t="n">
        <f aca="false">calc!$AH$208</f>
        <v>6.22178626502829</v>
      </c>
      <c r="I208" s="97" t="n">
        <f aca="false">H208*15</f>
        <v>93.3267939754243</v>
      </c>
    </row>
    <row r="209" customFormat="false" ht="17" hidden="false" customHeight="true" outlineLevel="0" collapsed="false">
      <c r="C209" s="21" t="n">
        <f aca="false">calc!$D$209</f>
        <v>27</v>
      </c>
      <c r="D209" s="21" t="n">
        <f aca="false">calc!$E$209</f>
        <v>7</v>
      </c>
      <c r="E209" s="21" t="n">
        <f aca="false">calc!$K$209</f>
        <v>208</v>
      </c>
      <c r="F209" s="95" t="n">
        <f aca="false">calc!$AU$209</f>
        <v>406148.080302479</v>
      </c>
      <c r="G209" s="24" t="n">
        <f aca="false">calc!$AG$209</f>
        <v>26.7114599349118</v>
      </c>
      <c r="H209" s="96" t="n">
        <f aca="false">calc!$AH$209</f>
        <v>7.1052300113753</v>
      </c>
      <c r="I209" s="97" t="n">
        <f aca="false">H209*15</f>
        <v>106.578450170629</v>
      </c>
    </row>
    <row r="210" customFormat="false" ht="17" hidden="false" customHeight="true" outlineLevel="0" collapsed="false">
      <c r="C210" s="21" t="n">
        <f aca="false">calc!$D$210</f>
        <v>28</v>
      </c>
      <c r="D210" s="21" t="n">
        <f aca="false">calc!$E$210</f>
        <v>7</v>
      </c>
      <c r="E210" s="21" t="n">
        <f aca="false">calc!$K$210</f>
        <v>209</v>
      </c>
      <c r="F210" s="95" t="n">
        <f aca="false">calc!$AU$210</f>
        <v>405360.099780641</v>
      </c>
      <c r="G210" s="24" t="n">
        <f aca="false">calc!$AG$210</f>
        <v>25.3469428246971</v>
      </c>
      <c r="H210" s="96" t="n">
        <f aca="false">calc!$AH$210</f>
        <v>7.98027384740781</v>
      </c>
      <c r="I210" s="97" t="n">
        <f aca="false">H210*15</f>
        <v>119.704107711117</v>
      </c>
    </row>
    <row r="211" customFormat="false" ht="17" hidden="false" customHeight="true" outlineLevel="0" collapsed="false">
      <c r="C211" s="21" t="n">
        <f aca="false">calc!$D$211</f>
        <v>29</v>
      </c>
      <c r="D211" s="21" t="n">
        <f aca="false">calc!$E$211</f>
        <v>7</v>
      </c>
      <c r="E211" s="21" t="n">
        <f aca="false">calc!$K$211</f>
        <v>210</v>
      </c>
      <c r="F211" s="95" t="n">
        <f aca="false">calc!$AU$211</f>
        <v>403923.789654629</v>
      </c>
      <c r="G211" s="24" t="n">
        <f aca="false">calc!$AG$211</f>
        <v>22.8325953839863</v>
      </c>
      <c r="H211" s="96" t="n">
        <f aca="false">calc!$AH$211</f>
        <v>8.83313182040308</v>
      </c>
      <c r="I211" s="97" t="n">
        <f aca="false">H211*15</f>
        <v>132.496977306046</v>
      </c>
    </row>
    <row r="212" customFormat="false" ht="17" hidden="false" customHeight="true" outlineLevel="0" collapsed="false">
      <c r="C212" s="21" t="n">
        <f aca="false">calc!$D$212</f>
        <v>30</v>
      </c>
      <c r="D212" s="21" t="n">
        <f aca="false">calc!$E$212</f>
        <v>7</v>
      </c>
      <c r="E212" s="21" t="n">
        <f aca="false">calc!$K$212</f>
        <v>211</v>
      </c>
      <c r="F212" s="95" t="n">
        <f aca="false">calc!$AU$212</f>
        <v>401906.322830749</v>
      </c>
      <c r="G212" s="24" t="n">
        <f aca="false">calc!$AG$212</f>
        <v>19.3049264870954</v>
      </c>
      <c r="H212" s="96" t="n">
        <f aca="false">calc!$AH$212</f>
        <v>9.65600009939026</v>
      </c>
      <c r="I212" s="97" t="n">
        <f aca="false">H212*15</f>
        <v>144.840001490854</v>
      </c>
    </row>
    <row r="213" customFormat="false" ht="17" hidden="false" customHeight="true" outlineLevel="0" collapsed="false">
      <c r="C213" s="21" t="n">
        <f aca="false">calc!$D$213</f>
        <v>31</v>
      </c>
      <c r="D213" s="21" t="n">
        <f aca="false">calc!$E$213</f>
        <v>7</v>
      </c>
      <c r="E213" s="21" t="n">
        <f aca="false">calc!$K$213</f>
        <v>212</v>
      </c>
      <c r="F213" s="95" t="n">
        <f aca="false">calc!$AU$213</f>
        <v>399348.381819751</v>
      </c>
      <c r="G213" s="24" t="n">
        <f aca="false">calc!$AG$213</f>
        <v>14.9362924519267</v>
      </c>
      <c r="H213" s="96" t="n">
        <f aca="false">calc!$AH$213</f>
        <v>10.4483858795438</v>
      </c>
      <c r="I213" s="97" t="n">
        <f aca="false">H213*15</f>
        <v>156.725788193158</v>
      </c>
    </row>
    <row r="214" customFormat="false" ht="17" hidden="false" customHeight="true" outlineLevel="0" collapsed="false">
      <c r="C214" s="21" t="n">
        <f aca="false">calc!$D$214</f>
        <v>1</v>
      </c>
      <c r="D214" s="21" t="n">
        <f aca="false">calc!$E$214</f>
        <v>8</v>
      </c>
      <c r="E214" s="21" t="n">
        <f aca="false">calc!$K$214</f>
        <v>213</v>
      </c>
      <c r="F214" s="95" t="n">
        <f aca="false">calc!$AU$214</f>
        <v>396269.546469843</v>
      </c>
      <c r="G214" s="24" t="n">
        <f aca="false">calc!$AG$214</f>
        <v>9.91371450339078</v>
      </c>
      <c r="H214" s="96" t="n">
        <f aca="false">calc!$AH$214</f>
        <v>11.2163956084903</v>
      </c>
      <c r="I214" s="97" t="n">
        <f aca="false">H214*15</f>
        <v>168.245934127354</v>
      </c>
    </row>
    <row r="215" customFormat="false" ht="17" hidden="false" customHeight="true" outlineLevel="0" collapsed="false">
      <c r="C215" s="21" t="n">
        <f aca="false">calc!$D$215</f>
        <v>2</v>
      </c>
      <c r="D215" s="21" t="n">
        <f aca="false">calc!$E$215</f>
        <v>8</v>
      </c>
      <c r="E215" s="21" t="n">
        <f aca="false">calc!$K$215</f>
        <v>214</v>
      </c>
      <c r="F215" s="95" t="n">
        <f aca="false">calc!$AU$215</f>
        <v>392681.659204804</v>
      </c>
      <c r="G215" s="24" t="n">
        <f aca="false">calc!$AG$215</f>
        <v>4.42705200071488</v>
      </c>
      <c r="H215" s="96" t="n">
        <f aca="false">calc!$AH$215</f>
        <v>11.9712260558777</v>
      </c>
      <c r="I215" s="97" t="n">
        <f aca="false">H215*15</f>
        <v>179.568390838166</v>
      </c>
    </row>
    <row r="216" customFormat="false" ht="17" hidden="false" customHeight="true" outlineLevel="0" collapsed="false">
      <c r="C216" s="21" t="n">
        <f aca="false">calc!$D$216</f>
        <v>3</v>
      </c>
      <c r="D216" s="21" t="n">
        <f aca="false">calc!$E$216</f>
        <v>8</v>
      </c>
      <c r="E216" s="21" t="n">
        <f aca="false">calc!$K$216</f>
        <v>215</v>
      </c>
      <c r="F216" s="95" t="n">
        <f aca="false">calc!$AU$216</f>
        <v>388608.741358737</v>
      </c>
      <c r="G216" s="24" t="n">
        <f aca="false">calc!$AG$216</f>
        <v>-1.33148445214169</v>
      </c>
      <c r="H216" s="96" t="n">
        <f aca="false">calc!$AH$216</f>
        <v>12.727801751156</v>
      </c>
      <c r="I216" s="97" t="n">
        <f aca="false">H216*15</f>
        <v>190.917026267339</v>
      </c>
    </row>
    <row r="217" customFormat="false" ht="17" hidden="false" customHeight="true" outlineLevel="0" collapsed="false">
      <c r="C217" s="21" t="n">
        <f aca="false">calc!$D$217</f>
        <v>4</v>
      </c>
      <c r="D217" s="21" t="n">
        <f aca="false">calc!$E$217</f>
        <v>8</v>
      </c>
      <c r="E217" s="21" t="n">
        <f aca="false">calc!$K$217</f>
        <v>216</v>
      </c>
      <c r="F217" s="95" t="n">
        <f aca="false">calc!$AU$217</f>
        <v>384110.869383531</v>
      </c>
      <c r="G217" s="24" t="n">
        <f aca="false">calc!$AG$217</f>
        <v>-7.15698059828092</v>
      </c>
      <c r="H217" s="96" t="n">
        <f aca="false">calc!$AH$217</f>
        <v>13.5038002571641</v>
      </c>
      <c r="I217" s="97" t="n">
        <f aca="false">H217*15</f>
        <v>202.557003857461</v>
      </c>
    </row>
    <row r="218" customFormat="false" ht="17" hidden="false" customHeight="true" outlineLevel="0" collapsed="false">
      <c r="C218" s="21" t="n">
        <f aca="false">calc!$D$218</f>
        <v>5</v>
      </c>
      <c r="D218" s="21" t="n">
        <f aca="false">calc!$E$218</f>
        <v>8</v>
      </c>
      <c r="E218" s="21" t="n">
        <f aca="false">calc!$K$218</f>
        <v>217</v>
      </c>
      <c r="F218" s="95" t="n">
        <f aca="false">calc!$AU$218</f>
        <v>379308.115957351</v>
      </c>
      <c r="G218" s="24" t="n">
        <f aca="false">calc!$AG$218</f>
        <v>-12.8124390125877</v>
      </c>
      <c r="H218" s="96" t="n">
        <f aca="false">calc!$AH$218</f>
        <v>14.3186868849017</v>
      </c>
      <c r="I218" s="97" t="n">
        <f aca="false">H218*15</f>
        <v>214.780303273525</v>
      </c>
    </row>
    <row r="219" customFormat="false" ht="17" hidden="false" customHeight="true" outlineLevel="0" collapsed="false">
      <c r="C219" s="21" t="n">
        <f aca="false">calc!$D$219</f>
        <v>6</v>
      </c>
      <c r="D219" s="21" t="n">
        <f aca="false">calc!$E$219</f>
        <v>8</v>
      </c>
      <c r="E219" s="21" t="n">
        <f aca="false">calc!$K$219</f>
        <v>218</v>
      </c>
      <c r="F219" s="95" t="n">
        <f aca="false">calc!$AU$219</f>
        <v>374399.270557613</v>
      </c>
      <c r="G219" s="24" t="n">
        <f aca="false">calc!$AG$219</f>
        <v>-18.0051829716458</v>
      </c>
      <c r="H219" s="96" t="n">
        <f aca="false">calc!$AH$219</f>
        <v>15.1918592174231</v>
      </c>
      <c r="I219" s="97" t="n">
        <f aca="false">H219*15</f>
        <v>227.877888261346</v>
      </c>
    </row>
    <row r="220" customFormat="false" ht="17" hidden="false" customHeight="true" outlineLevel="0" collapsed="false">
      <c r="C220" s="21" t="n">
        <f aca="false">calc!$D$220</f>
        <v>7</v>
      </c>
      <c r="D220" s="21" t="n">
        <f aca="false">calc!$E$220</f>
        <v>8</v>
      </c>
      <c r="E220" s="21" t="n">
        <f aca="false">calc!$K$220</f>
        <v>219</v>
      </c>
      <c r="F220" s="95" t="n">
        <f aca="false">calc!$AU$220</f>
        <v>369668.722650074</v>
      </c>
      <c r="G220" s="24" t="n">
        <f aca="false">calc!$AG$220</f>
        <v>-22.3710132370913</v>
      </c>
      <c r="H220" s="96" t="n">
        <f aca="false">calc!$AH$220</f>
        <v>16.1386003497097</v>
      </c>
      <c r="I220" s="97" t="n">
        <f aca="false">H220*15</f>
        <v>242.079005245646</v>
      </c>
    </row>
    <row r="221" customFormat="false" ht="17" hidden="false" customHeight="true" outlineLevel="0" collapsed="false">
      <c r="C221" s="21" t="n">
        <f aca="false">calc!$D$221</f>
        <v>8</v>
      </c>
      <c r="D221" s="21" t="n">
        <f aca="false">calc!$E$221</f>
        <v>8</v>
      </c>
      <c r="E221" s="21" t="n">
        <f aca="false">calc!$K$221</f>
        <v>220</v>
      </c>
      <c r="F221" s="95" t="n">
        <f aca="false">calc!$AU$221</f>
        <v>365474.464614979</v>
      </c>
      <c r="G221" s="24" t="n">
        <f aca="false">calc!$AG$221</f>
        <v>-25.4889254055292</v>
      </c>
      <c r="H221" s="96" t="n">
        <f aca="false">calc!$AH$221</f>
        <v>17.162982860643</v>
      </c>
      <c r="I221" s="97" t="n">
        <f aca="false">H221*15</f>
        <v>257.444742909645</v>
      </c>
    </row>
    <row r="222" customFormat="false" ht="17" hidden="false" customHeight="true" outlineLevel="0" collapsed="false">
      <c r="C222" s="21" t="n">
        <f aca="false">calc!$D$222</f>
        <v>9</v>
      </c>
      <c r="D222" s="21" t="n">
        <f aca="false">calc!$E$222</f>
        <v>8</v>
      </c>
      <c r="E222" s="21" t="n">
        <f aca="false">calc!$K$222</f>
        <v>221</v>
      </c>
      <c r="F222" s="95" t="n">
        <f aca="false">calc!$AU$222</f>
        <v>362212.345716188</v>
      </c>
      <c r="G222" s="24" t="n">
        <f aca="false">calc!$AG$222</f>
        <v>-26.9528981175822</v>
      </c>
      <c r="H222" s="96" t="n">
        <f aca="false">calc!$AH$222</f>
        <v>18.2498290729895</v>
      </c>
      <c r="I222" s="97" t="n">
        <f aca="false">H222*15</f>
        <v>273.747436094843</v>
      </c>
    </row>
    <row r="223" customFormat="false" ht="17" hidden="false" customHeight="true" outlineLevel="0" collapsed="false">
      <c r="C223" s="21" t="n">
        <f aca="false">calc!$D$223</f>
        <v>10</v>
      </c>
      <c r="D223" s="21" t="n">
        <f aca="false">calc!$E$223</f>
        <v>8</v>
      </c>
      <c r="E223" s="21" t="n">
        <f aca="false">calc!$K$223</f>
        <v>222</v>
      </c>
      <c r="F223" s="95" t="n">
        <f aca="false">calc!$AU$223</f>
        <v>360257.842140159</v>
      </c>
      <c r="G223" s="24" t="n">
        <f aca="false">calc!$AG$223</f>
        <v>-26.4986745239503</v>
      </c>
      <c r="H223" s="96" t="n">
        <f aca="false">calc!$AH$223</f>
        <v>19.3630104560901</v>
      </c>
      <c r="I223" s="97" t="n">
        <f aca="false">H223*15</f>
        <v>290.445156841351</v>
      </c>
    </row>
    <row r="224" customFormat="false" ht="17" hidden="false" customHeight="true" outlineLevel="0" collapsed="false">
      <c r="C224" s="21" t="n">
        <f aca="false">calc!$D$224</f>
        <v>11</v>
      </c>
      <c r="D224" s="21" t="n">
        <f aca="false">calc!$E$224</f>
        <v>8</v>
      </c>
      <c r="E224" s="21" t="n">
        <f aca="false">calc!$K$224</f>
        <v>223</v>
      </c>
      <c r="F224" s="95" t="n">
        <f aca="false">calc!$AU$224</f>
        <v>359895.758730458</v>
      </c>
      <c r="G224" s="24" t="n">
        <f aca="false">calc!$AG$224</f>
        <v>-24.1193577955392</v>
      </c>
      <c r="H224" s="96" t="n">
        <f aca="false">calc!$AH$224</f>
        <v>20.4569265210132</v>
      </c>
      <c r="I224" s="97" t="n">
        <f aca="false">H224*15</f>
        <v>306.853897815199</v>
      </c>
    </row>
    <row r="225" customFormat="false" ht="17" hidden="false" customHeight="true" outlineLevel="0" collapsed="false">
      <c r="C225" s="21" t="n">
        <f aca="false">calc!$D$225</f>
        <v>12</v>
      </c>
      <c r="D225" s="21" t="n">
        <f aca="false">calc!$E$225</f>
        <v>8</v>
      </c>
      <c r="E225" s="21" t="n">
        <f aca="false">calc!$K$225</f>
        <v>224</v>
      </c>
      <c r="F225" s="95" t="n">
        <f aca="false">calc!$AU$225</f>
        <v>361256.391591639</v>
      </c>
      <c r="G225" s="24" t="n">
        <f aca="false">calc!$AG$225</f>
        <v>-20.0796355305058</v>
      </c>
      <c r="H225" s="96" t="n">
        <f aca="false">calc!$AH$225</f>
        <v>21.4954077921241</v>
      </c>
      <c r="I225" s="97" t="n">
        <f aca="false">H225*15</f>
        <v>322.431116881861</v>
      </c>
    </row>
    <row r="226" customFormat="false" ht="17" hidden="false" customHeight="true" outlineLevel="0" collapsed="false">
      <c r="C226" s="21" t="n">
        <f aca="false">calc!$D$226</f>
        <v>13</v>
      </c>
      <c r="D226" s="21" t="n">
        <f aca="false">calc!$E$226</f>
        <v>8</v>
      </c>
      <c r="E226" s="21" t="n">
        <f aca="false">calc!$K$226</f>
        <v>225</v>
      </c>
      <c r="F226" s="95" t="n">
        <f aca="false">calc!$AU$226</f>
        <v>364278.466570159</v>
      </c>
      <c r="G226" s="24" t="n">
        <f aca="false">calc!$AG$226</f>
        <v>-14.8191695624252</v>
      </c>
      <c r="H226" s="96" t="n">
        <f aca="false">calc!$AH$226</f>
        <v>22.462995868641</v>
      </c>
      <c r="I226" s="97" t="n">
        <f aca="false">H226*15</f>
        <v>336.944938029614</v>
      </c>
    </row>
    <row r="227" customFormat="false" ht="17" hidden="false" customHeight="true" outlineLevel="0" collapsed="false">
      <c r="C227" s="21" t="n">
        <f aca="false">calc!$D$227</f>
        <v>14</v>
      </c>
      <c r="D227" s="21" t="n">
        <f aca="false">calc!$E$227</f>
        <v>8</v>
      </c>
      <c r="E227" s="21" t="n">
        <f aca="false">calc!$K$227</f>
        <v>226</v>
      </c>
      <c r="F227" s="95" t="n">
        <f aca="false">calc!$AU$227</f>
        <v>368711.879260341</v>
      </c>
      <c r="G227" s="24" t="n">
        <f aca="false">calc!$AG$227</f>
        <v>-8.82466084013631</v>
      </c>
      <c r="H227" s="96" t="n">
        <f aca="false">calc!$AH$227</f>
        <v>23.3631069449547</v>
      </c>
      <c r="I227" s="97" t="n">
        <f aca="false">H227*15</f>
        <v>350.44660417432</v>
      </c>
    </row>
    <row r="228" customFormat="false" ht="17" hidden="false" customHeight="true" outlineLevel="0" collapsed="false">
      <c r="C228" s="21" t="n">
        <f aca="false">calc!$D$228</f>
        <v>15</v>
      </c>
      <c r="D228" s="21" t="n">
        <f aca="false">calc!$E$228</f>
        <v>8</v>
      </c>
      <c r="E228" s="21" t="n">
        <f aca="false">calc!$K$228</f>
        <v>227</v>
      </c>
      <c r="F228" s="95" t="n">
        <f aca="false">calc!$AU$228</f>
        <v>374159.441846092</v>
      </c>
      <c r="G228" s="24" t="n">
        <f aca="false">calc!$AG$228</f>
        <v>-2.54066698051869</v>
      </c>
      <c r="H228" s="96" t="n">
        <f aca="false">calc!$AH$228</f>
        <v>0.210039874051711</v>
      </c>
      <c r="I228" s="97" t="n">
        <f aca="false">H228*15</f>
        <v>3.15059811077567</v>
      </c>
    </row>
    <row r="229" customFormat="false" ht="17" hidden="false" customHeight="true" outlineLevel="0" collapsed="false">
      <c r="C229" s="21" t="n">
        <f aca="false">calc!$D$229</f>
        <v>16</v>
      </c>
      <c r="D229" s="21" t="n">
        <f aca="false">calc!$E$229</f>
        <v>8</v>
      </c>
      <c r="E229" s="21" t="n">
        <f aca="false">calc!$K$229</f>
        <v>228</v>
      </c>
      <c r="F229" s="95" t="n">
        <f aca="false">calc!$AU$229</f>
        <v>380143.393814012</v>
      </c>
      <c r="G229" s="24" t="n">
        <f aca="false">calc!$AG$229</f>
        <v>3.66758626502492</v>
      </c>
      <c r="H229" s="96" t="n">
        <f aca="false">calc!$AH$229</f>
        <v>1.02202604629824</v>
      </c>
      <c r="I229" s="97" t="n">
        <f aca="false">H229*15</f>
        <v>15.3303906944736</v>
      </c>
    </row>
    <row r="230" customFormat="false" ht="17" hidden="false" customHeight="true" outlineLevel="0" collapsed="false">
      <c r="C230" s="21" t="n">
        <f aca="false">calc!$D$230</f>
        <v>17</v>
      </c>
      <c r="D230" s="21" t="n">
        <f aca="false">calc!$E$230</f>
        <v>8</v>
      </c>
      <c r="E230" s="21" t="n">
        <f aca="false">calc!$K$230</f>
        <v>229</v>
      </c>
      <c r="F230" s="95" t="n">
        <f aca="false">calc!$AU$230</f>
        <v>386176.231371114</v>
      </c>
      <c r="G230" s="24" t="n">
        <f aca="false">calc!$AG$230</f>
        <v>9.5158284936191</v>
      </c>
      <c r="H230" s="96" t="n">
        <f aca="false">calc!$AH$230</f>
        <v>1.81729683531351</v>
      </c>
      <c r="I230" s="97" t="n">
        <f aca="false">H230*15</f>
        <v>27.2594525297026</v>
      </c>
    </row>
    <row r="231" customFormat="false" ht="17" hidden="false" customHeight="true" outlineLevel="0" collapsed="false">
      <c r="C231" s="21" t="n">
        <f aca="false">calc!$D$231</f>
        <v>18</v>
      </c>
      <c r="D231" s="21" t="n">
        <f aca="false">calc!$E$231</f>
        <v>8</v>
      </c>
      <c r="E231" s="21" t="n">
        <f aca="false">calc!$K$231</f>
        <v>230</v>
      </c>
      <c r="F231" s="95" t="n">
        <f aca="false">calc!$AU$231</f>
        <v>391818.711756136</v>
      </c>
      <c r="G231" s="24" t="n">
        <f aca="false">calc!$AG$231</f>
        <v>14.7844229709736</v>
      </c>
      <c r="H231" s="96" t="n">
        <f aca="false">calc!$AH$231</f>
        <v>2.61220464195809</v>
      </c>
      <c r="I231" s="97" t="n">
        <f aca="false">H231*15</f>
        <v>39.1830696293714</v>
      </c>
    </row>
    <row r="232" customFormat="false" ht="17" hidden="false" customHeight="true" outlineLevel="0" collapsed="false">
      <c r="C232" s="21" t="n">
        <f aca="false">calc!$D$232</f>
        <v>19</v>
      </c>
      <c r="D232" s="21" t="n">
        <f aca="false">calc!$E$232</f>
        <v>8</v>
      </c>
      <c r="E232" s="21" t="n">
        <f aca="false">calc!$K$232</f>
        <v>231</v>
      </c>
      <c r="F232" s="95" t="n">
        <f aca="false">calc!$AU$232</f>
        <v>396717.156382318</v>
      </c>
      <c r="G232" s="24" t="n">
        <f aca="false">calc!$AG$232</f>
        <v>19.29638773369</v>
      </c>
      <c r="H232" s="96" t="n">
        <f aca="false">calc!$AH$232</f>
        <v>3.4200389900406</v>
      </c>
      <c r="I232" s="97" t="n">
        <f aca="false">H232*15</f>
        <v>51.300584850609</v>
      </c>
    </row>
    <row r="233" customFormat="false" ht="17" hidden="false" customHeight="true" outlineLevel="0" collapsed="false">
      <c r="C233" s="21" t="n">
        <f aca="false">calc!$D$233</f>
        <v>20</v>
      </c>
      <c r="D233" s="21" t="n">
        <f aca="false">calc!$E$233</f>
        <v>8</v>
      </c>
      <c r="E233" s="21" t="n">
        <f aca="false">calc!$K$233</f>
        <v>232</v>
      </c>
      <c r="F233" s="95" t="n">
        <f aca="false">calc!$AU$233</f>
        <v>400621.130014084</v>
      </c>
      <c r="G233" s="24" t="n">
        <f aca="false">calc!$AG$233</f>
        <v>22.8989287808055</v>
      </c>
      <c r="H233" s="96" t="n">
        <f aca="false">calc!$AH$233</f>
        <v>4.24969949353018</v>
      </c>
      <c r="I233" s="97" t="n">
        <f aca="false">H233*15</f>
        <v>63.7454924029527</v>
      </c>
    </row>
    <row r="234" customFormat="false" ht="17" hidden="false" customHeight="true" outlineLevel="0" collapsed="false">
      <c r="C234" s="21" t="n">
        <f aca="false">calc!$D$234</f>
        <v>21</v>
      </c>
      <c r="D234" s="21" t="n">
        <f aca="false">calc!$E$234</f>
        <v>8</v>
      </c>
      <c r="E234" s="21" t="n">
        <f aca="false">calc!$K$234</f>
        <v>233</v>
      </c>
      <c r="F234" s="95" t="n">
        <f aca="false">calc!$AU$234</f>
        <v>403386.807627826</v>
      </c>
      <c r="G234" s="24" t="n">
        <f aca="false">calc!$AG$234</f>
        <v>25.4557176333098</v>
      </c>
      <c r="H234" s="96" t="n">
        <f aca="false">calc!$AH$234</f>
        <v>5.10411829719095</v>
      </c>
      <c r="I234" s="97" t="n">
        <f aca="false">H234*15</f>
        <v>76.5617744578643</v>
      </c>
    </row>
    <row r="235" customFormat="false" ht="17" hidden="false" customHeight="true" outlineLevel="0" collapsed="false">
      <c r="C235" s="21" t="n">
        <f aca="false">calc!$D$235</f>
        <v>22</v>
      </c>
      <c r="D235" s="21" t="n">
        <f aca="false">calc!$E$235</f>
        <v>8</v>
      </c>
      <c r="E235" s="21" t="n">
        <f aca="false">calc!$K$235</f>
        <v>234</v>
      </c>
      <c r="F235" s="95" t="n">
        <f aca="false">calc!$AU$235</f>
        <v>404970.791323796</v>
      </c>
      <c r="G235" s="24" t="n">
        <f aca="false">calc!$AG$235</f>
        <v>26.8535258817409</v>
      </c>
      <c r="H235" s="96" t="n">
        <f aca="false">calc!$AH$235</f>
        <v>5.97911924471629</v>
      </c>
      <c r="I235" s="97" t="n">
        <f aca="false">H235*15</f>
        <v>89.6867886707443</v>
      </c>
    </row>
    <row r="236" customFormat="false" ht="17" hidden="false" customHeight="true" outlineLevel="0" collapsed="false">
      <c r="C236" s="21" t="n">
        <f aca="false">calc!$D$236</f>
        <v>23</v>
      </c>
      <c r="D236" s="21" t="n">
        <f aca="false">calc!$E$236</f>
        <v>8</v>
      </c>
      <c r="E236" s="21" t="n">
        <f aca="false">calc!$K$236</f>
        <v>235</v>
      </c>
      <c r="F236" s="95" t="n">
        <f aca="false">calc!$AU$236</f>
        <v>405416.836659588</v>
      </c>
      <c r="G236" s="24" t="n">
        <f aca="false">calc!$AG$236</f>
        <v>27.0202083064395</v>
      </c>
      <c r="H236" s="96" t="n">
        <f aca="false">calc!$AH$236</f>
        <v>6.86391454586241</v>
      </c>
      <c r="I236" s="97" t="n">
        <f aca="false">H236*15</f>
        <v>102.958718187936</v>
      </c>
    </row>
    <row r="237" customFormat="false" ht="17" hidden="false" customHeight="true" outlineLevel="0" collapsed="false">
      <c r="C237" s="21" t="n">
        <f aca="false">calc!$D$237</f>
        <v>24</v>
      </c>
      <c r="D237" s="21" t="n">
        <f aca="false">calc!$E$237</f>
        <v>8</v>
      </c>
      <c r="E237" s="21" t="n">
        <f aca="false">calc!$K$237</f>
        <v>236</v>
      </c>
      <c r="F237" s="95" t="n">
        <f aca="false">calc!$AU$237</f>
        <v>404836.777272161</v>
      </c>
      <c r="G237" s="24" t="n">
        <f aca="false">calc!$AG$237</f>
        <v>25.9438006876412</v>
      </c>
      <c r="H237" s="96" t="n">
        <f aca="false">calc!$AH$237</f>
        <v>7.74399060099836</v>
      </c>
      <c r="I237" s="97" t="n">
        <f aca="false">H237*15</f>
        <v>116.159859014975</v>
      </c>
    </row>
    <row r="238" customFormat="false" ht="17" hidden="false" customHeight="true" outlineLevel="0" collapsed="false">
      <c r="C238" s="21" t="n">
        <f aca="false">calc!$D$238</f>
        <v>25</v>
      </c>
      <c r="D238" s="21" t="n">
        <f aca="false">calc!$E$238</f>
        <v>8</v>
      </c>
      <c r="E238" s="21" t="n">
        <f aca="false">calc!$K$238</f>
        <v>237</v>
      </c>
      <c r="F238" s="95" t="n">
        <f aca="false">calc!$AU$238</f>
        <v>403387.475604179</v>
      </c>
      <c r="G238" s="24" t="n">
        <f aca="false">calc!$AG$238</f>
        <v>23.6807235502498</v>
      </c>
      <c r="H238" s="96" t="n">
        <f aca="false">calc!$AH$238</f>
        <v>8.60560736423333</v>
      </c>
      <c r="I238" s="97" t="n">
        <f aca="false">H238*15</f>
        <v>129.0841104635</v>
      </c>
    </row>
    <row r="239" customFormat="false" ht="17" hidden="false" customHeight="true" outlineLevel="0" collapsed="false">
      <c r="C239" s="21" t="n">
        <f aca="false">calc!$D$239</f>
        <v>26</v>
      </c>
      <c r="D239" s="21" t="n">
        <f aca="false">calc!$E$239</f>
        <v>8</v>
      </c>
      <c r="E239" s="21" t="n">
        <f aca="false">calc!$K$239</f>
        <v>238</v>
      </c>
      <c r="F239" s="95" t="n">
        <f aca="false">calc!$AU$239</f>
        <v>401246.584109994</v>
      </c>
      <c r="G239" s="24" t="n">
        <f aca="false">calc!$AG$239</f>
        <v>20.3482057809965</v>
      </c>
      <c r="H239" s="96" t="n">
        <f aca="false">calc!$AH$239</f>
        <v>9.4398451621053</v>
      </c>
      <c r="I239" s="97" t="n">
        <f aca="false">H239*15</f>
        <v>141.597677431579</v>
      </c>
    </row>
    <row r="240" customFormat="false" ht="17" hidden="false" customHeight="true" outlineLevel="0" collapsed="false">
      <c r="C240" s="21" t="n">
        <f aca="false">calc!$D$240</f>
        <v>27</v>
      </c>
      <c r="D240" s="21" t="n">
        <f aca="false">calc!$E$240</f>
        <v>8</v>
      </c>
      <c r="E240" s="21" t="n">
        <f aca="false">calc!$K$240</f>
        <v>239</v>
      </c>
      <c r="F240" s="95" t="n">
        <f aca="false">calc!$AU$240</f>
        <v>398590.059587504</v>
      </c>
      <c r="G240" s="24" t="n">
        <f aca="false">calc!$AG$240</f>
        <v>16.106455173406</v>
      </c>
      <c r="H240" s="96" t="n">
        <f aca="false">calc!$AH$240</f>
        <v>10.2445321593972</v>
      </c>
      <c r="I240" s="97" t="n">
        <f aca="false">H240*15</f>
        <v>153.667982390958</v>
      </c>
    </row>
    <row r="241" customFormat="false" ht="17" hidden="false" customHeight="true" outlineLevel="0" collapsed="false">
      <c r="C241" s="21" t="n">
        <f aca="false">calc!$D$241</f>
        <v>28</v>
      </c>
      <c r="D241" s="21" t="n">
        <f aca="false">calc!$E$241</f>
        <v>8</v>
      </c>
      <c r="E241" s="21" t="n">
        <f aca="false">calc!$K$241</f>
        <v>240</v>
      </c>
      <c r="F241" s="95" t="n">
        <f aca="false">calc!$AU$241</f>
        <v>395573.81111952</v>
      </c>
      <c r="G241" s="24" t="n">
        <f aca="false">calc!$AG$241</f>
        <v>11.1406377689505</v>
      </c>
      <c r="H241" s="96" t="n">
        <f aca="false">calc!$AH$241</f>
        <v>11.02398785206</v>
      </c>
      <c r="I241" s="97" t="n">
        <f aca="false">H241*15</f>
        <v>165.359817780899</v>
      </c>
    </row>
    <row r="242" customFormat="false" ht="17" hidden="false" customHeight="true" outlineLevel="0" collapsed="false">
      <c r="C242" s="21" t="n">
        <f aca="false">calc!$D$242</f>
        <v>29</v>
      </c>
      <c r="D242" s="21" t="n">
        <f aca="false">calc!$E$242</f>
        <v>8</v>
      </c>
      <c r="E242" s="21" t="n">
        <f aca="false">calc!$K$242</f>
        <v>241</v>
      </c>
      <c r="F242" s="95" t="n">
        <f aca="false">calc!$AU$242</f>
        <v>392321.419874872</v>
      </c>
      <c r="G242" s="24" t="n">
        <f aca="false">calc!$AG$242</f>
        <v>5.64961232615479</v>
      </c>
      <c r="H242" s="96" t="n">
        <f aca="false">calc!$AH$242</f>
        <v>11.7876403728777</v>
      </c>
      <c r="I242" s="97" t="n">
        <f aca="false">H242*15</f>
        <v>176.814605593166</v>
      </c>
    </row>
    <row r="243" customFormat="false" ht="17" hidden="false" customHeight="true" outlineLevel="0" collapsed="false">
      <c r="C243" s="21" t="n">
        <f aca="false">calc!$D$243</f>
        <v>30</v>
      </c>
      <c r="D243" s="21" t="n">
        <f aca="false">calc!$E$243</f>
        <v>8</v>
      </c>
      <c r="E243" s="21" t="n">
        <f aca="false">calc!$K$243</f>
        <v>242</v>
      </c>
      <c r="F243" s="95" t="n">
        <f aca="false">calc!$AU$243</f>
        <v>388919.842404158</v>
      </c>
      <c r="G243" s="24" t="n">
        <f aca="false">calc!$AG$243</f>
        <v>-0.156958523854043</v>
      </c>
      <c r="H243" s="96" t="n">
        <f aca="false">calc!$AH$243</f>
        <v>12.54855643585</v>
      </c>
      <c r="I243" s="97" t="n">
        <f aca="false">H243*15</f>
        <v>188.22834653775</v>
      </c>
    </row>
    <row r="244" customFormat="false" ht="17" hidden="false" customHeight="true" outlineLevel="0" collapsed="false">
      <c r="C244" s="21" t="n">
        <f aca="false">calc!$D$244</f>
        <v>31</v>
      </c>
      <c r="D244" s="21" t="n">
        <f aca="false">calc!$E$244</f>
        <v>8</v>
      </c>
      <c r="E244" s="21" t="n">
        <f aca="false">calc!$K$244</f>
        <v>243</v>
      </c>
      <c r="F244" s="95" t="n">
        <f aca="false">calc!$AU$244</f>
        <v>385424.691987088</v>
      </c>
      <c r="G244" s="24" t="n">
        <f aca="false">calc!$AG$244</f>
        <v>-6.05450692675698</v>
      </c>
      <c r="H244" s="96" t="n">
        <f aca="false">calc!$AH$244</f>
        <v>13.3223125070691</v>
      </c>
      <c r="I244" s="97" t="n">
        <f aca="false">H244*15</f>
        <v>199.834687606036</v>
      </c>
    </row>
    <row r="245" customFormat="false" ht="17" hidden="false" customHeight="true" outlineLevel="0" collapsed="false">
      <c r="C245" s="21" t="n">
        <f aca="false">calc!$D$245</f>
        <v>1</v>
      </c>
      <c r="D245" s="21" t="n">
        <f aca="false">calc!$E$245</f>
        <v>9</v>
      </c>
      <c r="E245" s="21" t="n">
        <f aca="false">calc!$K$245</f>
        <v>244</v>
      </c>
      <c r="F245" s="95" t="n">
        <f aca="false">calc!$AU$245</f>
        <v>381875.221045532</v>
      </c>
      <c r="G245" s="24" t="n">
        <f aca="false">calc!$AG$245</f>
        <v>-11.7944361329169</v>
      </c>
      <c r="H245" s="96" t="n">
        <f aca="false">calc!$AH$245</f>
        <v>14.1260277577391</v>
      </c>
      <c r="I245" s="97" t="n">
        <f aca="false">H245*15</f>
        <v>211.890416366087</v>
      </c>
    </row>
    <row r="246" customFormat="false" ht="17" hidden="false" customHeight="true" outlineLevel="0" collapsed="false">
      <c r="C246" s="21" t="n">
        <f aca="false">calc!$D$246</f>
        <v>2</v>
      </c>
      <c r="D246" s="21" t="n">
        <f aca="false">calc!$E$246</f>
        <v>9</v>
      </c>
      <c r="E246" s="21" t="n">
        <f aca="false">calc!$K$246</f>
        <v>245</v>
      </c>
      <c r="F246" s="95" t="n">
        <f aca="false">calc!$AU$246</f>
        <v>378316.556460857</v>
      </c>
      <c r="G246" s="24" t="n">
        <f aca="false">calc!$AG$246</f>
        <v>-17.092519866725</v>
      </c>
      <c r="H246" s="96" t="n">
        <f aca="false">calc!$AH$246</f>
        <v>14.976916523438</v>
      </c>
      <c r="I246" s="97" t="n">
        <f aca="false">H246*15</f>
        <v>224.653747851571</v>
      </c>
    </row>
    <row r="247" customFormat="false" ht="17" hidden="false" customHeight="true" outlineLevel="0" collapsed="false">
      <c r="C247" s="21" t="n">
        <f aca="false">calc!$D$247</f>
        <v>3</v>
      </c>
      <c r="D247" s="21" t="n">
        <f aca="false">calc!$E$247</f>
        <v>9</v>
      </c>
      <c r="E247" s="21" t="n">
        <f aca="false">calc!$K$247</f>
        <v>246</v>
      </c>
      <c r="F247" s="95" t="n">
        <f aca="false">calc!$AU$247</f>
        <v>374824.116317301</v>
      </c>
      <c r="G247" s="24" t="n">
        <f aca="false">calc!$AG$247</f>
        <v>-21.6206107873326</v>
      </c>
      <c r="H247" s="96" t="n">
        <f aca="false">calc!$AH$247</f>
        <v>15.8893950715787</v>
      </c>
      <c r="I247" s="97" t="n">
        <f aca="false">H247*15</f>
        <v>238.340926073681</v>
      </c>
    </row>
    <row r="248" customFormat="false" ht="17" hidden="false" customHeight="true" outlineLevel="0" collapsed="false">
      <c r="C248" s="21" t="n">
        <f aca="false">calc!$D$248</f>
        <v>4</v>
      </c>
      <c r="D248" s="21" t="n">
        <f aca="false">calc!$E$248</f>
        <v>9</v>
      </c>
      <c r="E248" s="21" t="n">
        <f aca="false">calc!$K$248</f>
        <v>247</v>
      </c>
      <c r="F248" s="95" t="n">
        <f aca="false">calc!$AU$248</f>
        <v>371523.580078784</v>
      </c>
      <c r="G248" s="24" t="n">
        <f aca="false">calc!$AG$248</f>
        <v>-25.0143042009786</v>
      </c>
      <c r="H248" s="96" t="n">
        <f aca="false">calc!$AH$248</f>
        <v>16.8699611208355</v>
      </c>
      <c r="I248" s="97" t="n">
        <f aca="false">H248*15</f>
        <v>253.049416812533</v>
      </c>
    </row>
    <row r="249" customFormat="false" ht="17" hidden="false" customHeight="true" outlineLevel="0" collapsed="false">
      <c r="C249" s="21" t="n">
        <f aca="false">calc!$D$249</f>
        <v>5</v>
      </c>
      <c r="D249" s="21" t="n">
        <f aca="false">calc!$E$249</f>
        <v>9</v>
      </c>
      <c r="E249" s="21" t="n">
        <f aca="false">calc!$K$249</f>
        <v>248</v>
      </c>
      <c r="F249" s="95" t="n">
        <f aca="false">calc!$AU$249</f>
        <v>368599.707497989</v>
      </c>
      <c r="G249" s="24" t="n">
        <f aca="false">calc!$AG$249</f>
        <v>-26.9147507680264</v>
      </c>
      <c r="H249" s="96" t="n">
        <f aca="false">calc!$AH$249</f>
        <v>17.9107680852236</v>
      </c>
      <c r="I249" s="97" t="n">
        <f aca="false">H249*15</f>
        <v>268.661521278353</v>
      </c>
    </row>
    <row r="250" customFormat="false" ht="17" hidden="false" customHeight="true" outlineLevel="0" collapsed="false">
      <c r="C250" s="21" t="n">
        <f aca="false">calc!$D$250</f>
        <v>6</v>
      </c>
      <c r="D250" s="21" t="n">
        <f aca="false">calc!$E$250</f>
        <v>9</v>
      </c>
      <c r="E250" s="21" t="n">
        <f aca="false">calc!$K$250</f>
        <v>249</v>
      </c>
      <c r="F250" s="95" t="n">
        <f aca="false">calc!$AU$250</f>
        <v>366288.621282119</v>
      </c>
      <c r="G250" s="24" t="n">
        <f aca="false">calc!$AG$250</f>
        <v>-27.0520901166302</v>
      </c>
      <c r="H250" s="96" t="n">
        <f aca="false">calc!$AH$250</f>
        <v>18.9863618406198</v>
      </c>
      <c r="I250" s="97" t="n">
        <f aca="false">H250*15</f>
        <v>284.795427609297</v>
      </c>
    </row>
    <row r="251" customFormat="false" ht="17" hidden="false" customHeight="true" outlineLevel="0" collapsed="false">
      <c r="C251" s="21" t="n">
        <f aca="false">calc!$D$251</f>
        <v>7</v>
      </c>
      <c r="D251" s="21" t="n">
        <f aca="false">calc!$E$251</f>
        <v>9</v>
      </c>
      <c r="E251" s="21" t="n">
        <f aca="false">calc!$K$251</f>
        <v>250</v>
      </c>
      <c r="F251" s="95" t="n">
        <f aca="false">calc!$AU$251</f>
        <v>364851.017222595</v>
      </c>
      <c r="G251" s="24" t="n">
        <f aca="false">calc!$AG$251</f>
        <v>-25.3403470066006</v>
      </c>
      <c r="H251" s="96" t="n">
        <f aca="false">calc!$AH$251</f>
        <v>20.0594906392928</v>
      </c>
      <c r="I251" s="97" t="n">
        <f aca="false">H251*15</f>
        <v>300.892359589392</v>
      </c>
    </row>
    <row r="252" customFormat="false" ht="17" hidden="false" customHeight="true" outlineLevel="0" collapsed="false">
      <c r="C252" s="21" t="n">
        <f aca="false">calc!$D$252</f>
        <v>8</v>
      </c>
      <c r="D252" s="21" t="n">
        <f aca="false">calc!$E$252</f>
        <v>9</v>
      </c>
      <c r="E252" s="21" t="n">
        <f aca="false">calc!$K$252</f>
        <v>251</v>
      </c>
      <c r="F252" s="95" t="n">
        <f aca="false">calc!$AU$252</f>
        <v>364528.497805706</v>
      </c>
      <c r="G252" s="24" t="n">
        <f aca="false">calc!$AG$252</f>
        <v>-21.9212425614595</v>
      </c>
      <c r="H252" s="96" t="n">
        <f aca="false">calc!$AH$252</f>
        <v>21.0952128357281</v>
      </c>
      <c r="I252" s="97" t="n">
        <f aca="false">H252*15</f>
        <v>316.428192535921</v>
      </c>
    </row>
    <row r="253" customFormat="false" ht="17" hidden="false" customHeight="true" outlineLevel="0" collapsed="false">
      <c r="C253" s="21" t="n">
        <f aca="false">calc!$D$253</f>
        <v>9</v>
      </c>
      <c r="D253" s="21" t="n">
        <f aca="false">calc!$E$253</f>
        <v>9</v>
      </c>
      <c r="E253" s="21" t="n">
        <f aca="false">calc!$K$253</f>
        <v>252</v>
      </c>
      <c r="F253" s="95" t="n">
        <f aca="false">calc!$AU$253</f>
        <v>365491.359124423</v>
      </c>
      <c r="G253" s="24" t="n">
        <f aca="false">calc!$AG$253</f>
        <v>-17.1236121394037</v>
      </c>
      <c r="H253" s="96" t="n">
        <f aca="false">calc!$AH$253</f>
        <v>22.0732670845239</v>
      </c>
      <c r="I253" s="97" t="n">
        <f aca="false">H253*15</f>
        <v>331.099006267859</v>
      </c>
    </row>
    <row r="254" customFormat="false" ht="17" hidden="false" customHeight="true" outlineLevel="0" collapsed="false">
      <c r="C254" s="21" t="n">
        <f aca="false">calc!$D$254</f>
        <v>10</v>
      </c>
      <c r="D254" s="21" t="n">
        <f aca="false">calc!$E$254</f>
        <v>9</v>
      </c>
      <c r="E254" s="21" t="n">
        <f aca="false">calc!$K$254</f>
        <v>253</v>
      </c>
      <c r="F254" s="95" t="n">
        <f aca="false">calc!$AU$254</f>
        <v>367791.428401046</v>
      </c>
      <c r="G254" s="24" t="n">
        <f aca="false">calc!$AG$254</f>
        <v>-11.3728164341779</v>
      </c>
      <c r="H254" s="96" t="n">
        <f aca="false">calc!$AH$254</f>
        <v>22.9907395504925</v>
      </c>
      <c r="I254" s="97" t="n">
        <f aca="false">H254*15</f>
        <v>344.861093257388</v>
      </c>
    </row>
    <row r="255" customFormat="false" ht="17" hidden="false" customHeight="true" outlineLevel="0" collapsed="false">
      <c r="C255" s="21" t="n">
        <f aca="false">calc!$D$255</f>
        <v>11</v>
      </c>
      <c r="D255" s="21" t="n">
        <f aca="false">calc!$E$255</f>
        <v>9</v>
      </c>
      <c r="E255" s="21" t="n">
        <f aca="false">calc!$K$255</f>
        <v>254</v>
      </c>
      <c r="F255" s="95" t="n">
        <f aca="false">calc!$AU$255</f>
        <v>371334.608918336</v>
      </c>
      <c r="G255" s="24" t="n">
        <f aca="false">calc!$AG$255</f>
        <v>-5.10681156602706</v>
      </c>
      <c r="H255" s="96" t="n">
        <f aca="false">calc!$AH$255</f>
        <v>23.8571102366416</v>
      </c>
      <c r="I255" s="97" t="n">
        <f aca="false">H255*15</f>
        <v>357.856653549623</v>
      </c>
    </row>
    <row r="256" customFormat="false" ht="17" hidden="false" customHeight="true" outlineLevel="0" collapsed="false">
      <c r="C256" s="21" t="n">
        <f aca="false">calc!$D$256</f>
        <v>12</v>
      </c>
      <c r="D256" s="21" t="n">
        <f aca="false">calc!$E$256</f>
        <v>9</v>
      </c>
      <c r="E256" s="21" t="n">
        <f aca="false">calc!$K$256</f>
        <v>255</v>
      </c>
      <c r="F256" s="95" t="n">
        <f aca="false">calc!$AU$256</f>
        <v>375882.64780441</v>
      </c>
      <c r="G256" s="24" t="n">
        <f aca="false">calc!$AG$256</f>
        <v>1.27478698956453</v>
      </c>
      <c r="H256" s="96" t="n">
        <f aca="false">calc!$AH$256</f>
        <v>0.687818909116985</v>
      </c>
      <c r="I256" s="97" t="n">
        <f aca="false">H256*15</f>
        <v>10.3172836367548</v>
      </c>
    </row>
    <row r="257" customFormat="false" ht="17" hidden="false" customHeight="true" outlineLevel="0" collapsed="false">
      <c r="C257" s="21" t="n">
        <f aca="false">calc!$D$257</f>
        <v>13</v>
      </c>
      <c r="D257" s="21" t="n">
        <f aca="false">calc!$E$257</f>
        <v>9</v>
      </c>
      <c r="E257" s="21" t="n">
        <f aca="false">calc!$K$257</f>
        <v>256</v>
      </c>
      <c r="F257" s="95" t="n">
        <f aca="false">calc!$AU$257</f>
        <v>381083.847327601</v>
      </c>
      <c r="G257" s="24" t="n">
        <f aca="false">calc!$AG$257</f>
        <v>7.43184315136736</v>
      </c>
      <c r="H257" s="96" t="n">
        <f aca="false">calc!$AH$257</f>
        <v>1.49968259865211</v>
      </c>
      <c r="I257" s="97" t="n">
        <f aca="false">H257*15</f>
        <v>22.4952389797817</v>
      </c>
    </row>
    <row r="258" customFormat="false" ht="17" hidden="false" customHeight="true" outlineLevel="0" collapsed="false">
      <c r="C258" s="21" t="n">
        <f aca="false">calc!$D$258</f>
        <v>14</v>
      </c>
      <c r="D258" s="21" t="n">
        <f aca="false">calc!$E$258</f>
        <v>9</v>
      </c>
      <c r="E258" s="21" t="n">
        <f aca="false">calc!$K$258</f>
        <v>257</v>
      </c>
      <c r="F258" s="95" t="n">
        <f aca="false">calc!$AU$258</f>
        <v>386522.781804904</v>
      </c>
      <c r="G258" s="24" t="n">
        <f aca="false">calc!$AG$258</f>
        <v>13.0859919889806</v>
      </c>
      <c r="H258" s="96" t="n">
        <f aca="false">calc!$AH$258</f>
        <v>2.30833182673049</v>
      </c>
      <c r="I258" s="97" t="n">
        <f aca="false">H258*15</f>
        <v>34.6249774009573</v>
      </c>
    </row>
    <row r="259" customFormat="false" ht="17" hidden="false" customHeight="true" outlineLevel="0" collapsed="false">
      <c r="C259" s="21" t="n">
        <f aca="false">calc!$D$259</f>
        <v>15</v>
      </c>
      <c r="D259" s="21" t="n">
        <f aca="false">calc!$E$259</f>
        <v>9</v>
      </c>
      <c r="E259" s="21" t="n">
        <f aca="false">calc!$K$259</f>
        <v>258</v>
      </c>
      <c r="F259" s="95" t="n">
        <f aca="false">calc!$AU$259</f>
        <v>391774.545807866</v>
      </c>
      <c r="G259" s="24" t="n">
        <f aca="false">calc!$AG$259</f>
        <v>18.0126767687447</v>
      </c>
      <c r="H259" s="96" t="n">
        <f aca="false">calc!$AH$259</f>
        <v>3.12670147255885</v>
      </c>
      <c r="I259" s="97" t="n">
        <f aca="false">H259*15</f>
        <v>46.9005220883827</v>
      </c>
    </row>
    <row r="260" customFormat="false" ht="17" hidden="false" customHeight="true" outlineLevel="0" collapsed="false">
      <c r="C260" s="21" t="n">
        <f aca="false">calc!$D$260</f>
        <v>16</v>
      </c>
      <c r="D260" s="21" t="n">
        <f aca="false">calc!$E$260</f>
        <v>9</v>
      </c>
      <c r="E260" s="21" t="n">
        <f aca="false">calc!$K$260</f>
        <v>259</v>
      </c>
      <c r="F260" s="95" t="n">
        <f aca="false">calc!$AU$260</f>
        <v>396451.337390882</v>
      </c>
      <c r="G260" s="24" t="n">
        <f aca="false">calc!$AG$260</f>
        <v>22.0296326024222</v>
      </c>
      <c r="H260" s="96" t="n">
        <f aca="false">calc!$AH$260</f>
        <v>3.96372233766104</v>
      </c>
      <c r="I260" s="97" t="n">
        <f aca="false">H260*15</f>
        <v>59.4558350649156</v>
      </c>
    </row>
    <row r="261" customFormat="false" ht="17" hidden="false" customHeight="true" outlineLevel="0" collapsed="false">
      <c r="C261" s="21" t="n">
        <f aca="false">calc!$D$261</f>
        <v>17</v>
      </c>
      <c r="D261" s="21" t="n">
        <f aca="false">calc!$E$261</f>
        <v>9</v>
      </c>
      <c r="E261" s="21" t="n">
        <f aca="false">calc!$K$261</f>
        <v>260</v>
      </c>
      <c r="F261" s="95" t="n">
        <f aca="false">calc!$AU$261</f>
        <v>400235.654361997</v>
      </c>
      <c r="G261" s="24" t="n">
        <f aca="false">calc!$AG$261</f>
        <v>24.9884047030266</v>
      </c>
      <c r="H261" s="96" t="n">
        <f aca="false">calc!$AH$261</f>
        <v>4.82291020800751</v>
      </c>
      <c r="I261" s="97" t="n">
        <f aca="false">H261*15</f>
        <v>72.3436531201126</v>
      </c>
    </row>
    <row r="262" customFormat="false" ht="17" hidden="false" customHeight="true" outlineLevel="0" collapsed="false">
      <c r="C262" s="21" t="n">
        <f aca="false">calc!$D$262</f>
        <v>18</v>
      </c>
      <c r="D262" s="21" t="n">
        <f aca="false">calc!$E$262</f>
        <v>9</v>
      </c>
      <c r="E262" s="21" t="n">
        <f aca="false">calc!$K$262</f>
        <v>261</v>
      </c>
      <c r="F262" s="95" t="n">
        <f aca="false">calc!$AU$262</f>
        <v>402900.41923763</v>
      </c>
      <c r="G262" s="24" t="n">
        <f aca="false">calc!$AG$262</f>
        <v>26.7743208329512</v>
      </c>
      <c r="H262" s="96" t="n">
        <f aca="false">calc!$AH$262</f>
        <v>5.70126612514555</v>
      </c>
      <c r="I262" s="97" t="n">
        <f aca="false">H262*15</f>
        <v>85.5189918771833</v>
      </c>
    </row>
    <row r="263" customFormat="false" ht="17" hidden="false" customHeight="true" outlineLevel="0" collapsed="false">
      <c r="C263" s="21" t="n">
        <f aca="false">calc!$D$263</f>
        <v>19</v>
      </c>
      <c r="D263" s="21" t="n">
        <f aca="false">calc!$E$263</f>
        <v>9</v>
      </c>
      <c r="E263" s="21" t="n">
        <f aca="false">calc!$K$263</f>
        <v>262</v>
      </c>
      <c r="F263" s="95" t="n">
        <f aca="false">calc!$AU$263</f>
        <v>404318.866143271</v>
      </c>
      <c r="G263" s="24" t="n">
        <f aca="false">calc!$AG$263</f>
        <v>27.3157631590301</v>
      </c>
      <c r="H263" s="96" t="n">
        <f aca="false">calc!$AH$263</f>
        <v>6.58948166005612</v>
      </c>
      <c r="I263" s="97" t="n">
        <f aca="false">H263*15</f>
        <v>98.8422249008419</v>
      </c>
    </row>
    <row r="264" customFormat="false" ht="17" hidden="false" customHeight="true" outlineLevel="0" collapsed="false">
      <c r="C264" s="21" t="n">
        <f aca="false">calc!$D$264</f>
        <v>20</v>
      </c>
      <c r="D264" s="21" t="n">
        <f aca="false">calc!$E$264</f>
        <v>9</v>
      </c>
      <c r="E264" s="21" t="n">
        <f aca="false">calc!$K$264</f>
        <v>263</v>
      </c>
      <c r="F264" s="95" t="n">
        <f aca="false">calc!$AU$264</f>
        <v>404466.292927351</v>
      </c>
      <c r="G264" s="24" t="n">
        <f aca="false">calc!$AG$264</f>
        <v>26.5967364030619</v>
      </c>
      <c r="H264" s="96" t="n">
        <f aca="false">calc!$AH$264</f>
        <v>7.4742690069689</v>
      </c>
      <c r="I264" s="97" t="n">
        <f aca="false">H264*15</f>
        <v>112.114035104534</v>
      </c>
    </row>
    <row r="265" customFormat="false" ht="17" hidden="false" customHeight="true" outlineLevel="0" collapsed="false">
      <c r="C265" s="21" t="n">
        <f aca="false">calc!$D$265</f>
        <v>21</v>
      </c>
      <c r="D265" s="21" t="n">
        <f aca="false">calc!$E$265</f>
        <v>9</v>
      </c>
      <c r="E265" s="21" t="n">
        <f aca="false">calc!$K$265</f>
        <v>264</v>
      </c>
      <c r="F265" s="95" t="n">
        <f aca="false">calc!$AU$265</f>
        <v>403414.247443358</v>
      </c>
      <c r="G265" s="24" t="n">
        <f aca="false">calc!$AG$265</f>
        <v>24.6629664473149</v>
      </c>
      <c r="H265" s="96" t="n">
        <f aca="false">calc!$AH$265</f>
        <v>8.34240656640456</v>
      </c>
      <c r="I265" s="97" t="n">
        <f aca="false">H265*15</f>
        <v>125.136098496068</v>
      </c>
    </row>
    <row r="266" customFormat="false" ht="17" hidden="false" customHeight="true" outlineLevel="0" collapsed="false">
      <c r="C266" s="21" t="n">
        <f aca="false">calc!$D$266</f>
        <v>22</v>
      </c>
      <c r="D266" s="21" t="n">
        <f aca="false">calc!$E$266</f>
        <v>9</v>
      </c>
      <c r="E266" s="21" t="n">
        <f aca="false">calc!$K$266</f>
        <v>265</v>
      </c>
      <c r="F266" s="95" t="n">
        <f aca="false">calc!$AU$266</f>
        <v>401317.348755806</v>
      </c>
      <c r="G266" s="24" t="n">
        <f aca="false">calc!$AG$266</f>
        <v>21.6158341469914</v>
      </c>
      <c r="H266" s="96" t="n">
        <f aca="false">calc!$AH$266</f>
        <v>9.18475214627322</v>
      </c>
      <c r="I266" s="97" t="n">
        <f aca="false">H266*15</f>
        <v>137.771282194098</v>
      </c>
    </row>
    <row r="267" customFormat="false" ht="17" hidden="false" customHeight="true" outlineLevel="0" collapsed="false">
      <c r="C267" s="21" t="n">
        <f aca="false">calc!$D$267</f>
        <v>23</v>
      </c>
      <c r="D267" s="21" t="n">
        <f aca="false">calc!$E$267</f>
        <v>9</v>
      </c>
      <c r="E267" s="21" t="n">
        <f aca="false">calc!$K$267</f>
        <v>266</v>
      </c>
      <c r="F267" s="95" t="n">
        <f aca="false">calc!$AU$267</f>
        <v>398393.743991812</v>
      </c>
      <c r="G267" s="24" t="n">
        <f aca="false">calc!$AG$267</f>
        <v>17.597458781044</v>
      </c>
      <c r="H267" s="96" t="n">
        <f aca="false">calc!$AH$267</f>
        <v>9.99849115807527</v>
      </c>
      <c r="I267" s="97" t="n">
        <f aca="false">H267*15</f>
        <v>149.977367371129</v>
      </c>
    </row>
    <row r="268" customFormat="false" ht="17" hidden="false" customHeight="true" outlineLevel="0" collapsed="false">
      <c r="C268" s="21" t="n">
        <f aca="false">calc!$D$268</f>
        <v>24</v>
      </c>
      <c r="D268" s="21" t="n">
        <f aca="false">calc!$E$268</f>
        <v>9</v>
      </c>
      <c r="E268" s="21" t="n">
        <f aca="false">calc!$K$268</f>
        <v>267</v>
      </c>
      <c r="F268" s="95" t="n">
        <f aca="false">calc!$AU$268</f>
        <v>394900.972137306</v>
      </c>
      <c r="G268" s="24" t="n">
        <f aca="false">calc!$AG$268</f>
        <v>12.7757861104858</v>
      </c>
      <c r="H268" s="96" t="n">
        <f aca="false">calc!$AH$268</f>
        <v>10.7872356349077</v>
      </c>
      <c r="I268" s="97" t="n">
        <f aca="false">H268*15</f>
        <v>161.808534523616</v>
      </c>
    </row>
    <row r="269" customFormat="false" ht="17" hidden="false" customHeight="true" outlineLevel="0" collapsed="false">
      <c r="C269" s="21" t="n">
        <f aca="false">calc!$D$269</f>
        <v>25</v>
      </c>
      <c r="D269" s="21" t="n">
        <f aca="false">calc!$E$269</f>
        <v>9</v>
      </c>
      <c r="E269" s="21" t="n">
        <f aca="false">calc!$K$269</f>
        <v>268</v>
      </c>
      <c r="F269" s="95" t="n">
        <f aca="false">calc!$AU$269</f>
        <v>391109.124999378</v>
      </c>
      <c r="G269" s="24" t="n">
        <f aca="false">calc!$AG$269</f>
        <v>7.33676952404676</v>
      </c>
      <c r="H269" s="96" t="n">
        <f aca="false">calc!$AH$269</f>
        <v>11.5598090400169</v>
      </c>
      <c r="I269" s="97" t="n">
        <f aca="false">H269*15</f>
        <v>173.397135600254</v>
      </c>
    </row>
    <row r="270" customFormat="false" ht="17" hidden="false" customHeight="true" outlineLevel="0" collapsed="false">
      <c r="C270" s="21" t="n">
        <f aca="false">calc!$D$270</f>
        <v>26</v>
      </c>
      <c r="D270" s="21" t="n">
        <f aca="false">calc!$E$270</f>
        <v>9</v>
      </c>
      <c r="E270" s="21" t="n">
        <f aca="false">calc!$K$270</f>
        <v>269</v>
      </c>
      <c r="F270" s="95" t="n">
        <f aca="false">calc!$AU$270</f>
        <v>387273.313243033</v>
      </c>
      <c r="G270" s="24" t="n">
        <f aca="false">calc!$AG$270</f>
        <v>1.48530827920674</v>
      </c>
      <c r="H270" s="96" t="n">
        <f aca="false">calc!$AH$270</f>
        <v>12.3287422419328</v>
      </c>
      <c r="I270" s="97" t="n">
        <f aca="false">H270*15</f>
        <v>184.931133628992</v>
      </c>
    </row>
    <row r="271" customFormat="false" ht="17" hidden="false" customHeight="true" outlineLevel="0" collapsed="false">
      <c r="C271" s="21" t="n">
        <f aca="false">calc!$D$271</f>
        <v>27</v>
      </c>
      <c r="D271" s="21" t="n">
        <f aca="false">calc!$E$271</f>
        <v>9</v>
      </c>
      <c r="E271" s="21" t="n">
        <f aca="false">calc!$K$271</f>
        <v>270</v>
      </c>
      <c r="F271" s="95" t="n">
        <f aca="false">calc!$AU$271</f>
        <v>383608.437555982</v>
      </c>
      <c r="G271" s="24" t="n">
        <f aca="false">calc!$AG$271</f>
        <v>-4.54764642999891</v>
      </c>
      <c r="H271" s="96" t="n">
        <f aca="false">calc!$AH$271</f>
        <v>13.1089953464878</v>
      </c>
      <c r="I271" s="97" t="n">
        <f aca="false">H271*15</f>
        <v>196.634930197317</v>
      </c>
    </row>
    <row r="272" customFormat="false" ht="17" hidden="false" customHeight="true" outlineLevel="0" collapsed="false">
      <c r="C272" s="21" t="n">
        <f aca="false">calc!$D$272</f>
        <v>28</v>
      </c>
      <c r="D272" s="21" t="n">
        <f aca="false">calc!$E$272</f>
        <v>9</v>
      </c>
      <c r="E272" s="21" t="n">
        <f aca="false">calc!$K$272</f>
        <v>271</v>
      </c>
      <c r="F272" s="95" t="n">
        <f aca="false">calc!$AU$272</f>
        <v>380270.781743827</v>
      </c>
      <c r="G272" s="24" t="n">
        <f aca="false">calc!$AG$272</f>
        <v>-10.4960450234207</v>
      </c>
      <c r="H272" s="96" t="n">
        <f aca="false">calc!$AH$272</f>
        <v>13.9168148889015</v>
      </c>
      <c r="I272" s="97" t="n">
        <f aca="false">H272*15</f>
        <v>208.752223333523</v>
      </c>
    </row>
    <row r="273" customFormat="false" ht="17" hidden="false" customHeight="true" outlineLevel="0" collapsed="false">
      <c r="C273" s="21" t="n">
        <f aca="false">calc!$D$273</f>
        <v>29</v>
      </c>
      <c r="D273" s="21" t="n">
        <f aca="false">calc!$E$273</f>
        <v>9</v>
      </c>
      <c r="E273" s="21" t="n">
        <f aca="false">calc!$K$273</f>
        <v>272</v>
      </c>
      <c r="F273" s="95" t="n">
        <f aca="false">calc!$AU$273</f>
        <v>377351.332486199</v>
      </c>
      <c r="G273" s="24" t="n">
        <f aca="false">calc!$AG$273</f>
        <v>-16.0522997033831</v>
      </c>
      <c r="H273" s="96" t="n">
        <f aca="false">calc!$AH$273</f>
        <v>14.7681798575062</v>
      </c>
      <c r="I273" s="97" t="n">
        <f aca="false">H273*15</f>
        <v>221.522697862593</v>
      </c>
    </row>
    <row r="274" customFormat="false" ht="17" hidden="false" customHeight="true" outlineLevel="0" collapsed="false">
      <c r="C274" s="21" t="n">
        <f aca="false">calc!$D$274</f>
        <v>30</v>
      </c>
      <c r="D274" s="21" t="n">
        <f aca="false">calc!$E$274</f>
        <v>9</v>
      </c>
      <c r="E274" s="21" t="n">
        <f aca="false">calc!$K$274</f>
        <v>273</v>
      </c>
      <c r="F274" s="95" t="n">
        <f aca="false">calc!$AU$274</f>
        <v>374883.563829968</v>
      </c>
      <c r="G274" s="24" t="n">
        <f aca="false">calc!$AG$274</f>
        <v>-20.8690575777383</v>
      </c>
      <c r="H274" s="96" t="n">
        <f aca="false">calc!$AH$274</f>
        <v>15.6760334356353</v>
      </c>
      <c r="I274" s="97" t="n">
        <f aca="false">H274*15</f>
        <v>235.14050153453</v>
      </c>
    </row>
    <row r="275" customFormat="false" ht="17" hidden="false" customHeight="true" outlineLevel="0" collapsed="false">
      <c r="C275" s="21" t="n">
        <f aca="false">calc!$D$275</f>
        <v>1</v>
      </c>
      <c r="D275" s="21" t="n">
        <f aca="false">calc!$E$275</f>
        <v>10</v>
      </c>
      <c r="E275" s="21" t="n">
        <f aca="false">calc!$K$275</f>
        <v>274</v>
      </c>
      <c r="F275" s="95" t="n">
        <f aca="false">calc!$AU$275</f>
        <v>372864.083191009</v>
      </c>
      <c r="G275" s="24" t="n">
        <f aca="false">calc!$AG$275</f>
        <v>-24.5776037976963</v>
      </c>
      <c r="H275" s="96" t="n">
        <f aca="false">calc!$AH$275</f>
        <v>16.6457478707061</v>
      </c>
      <c r="I275" s="97" t="n">
        <f aca="false">H275*15</f>
        <v>249.686218060591</v>
      </c>
    </row>
    <row r="276" customFormat="false" ht="17" hidden="false" customHeight="true" outlineLevel="0" collapsed="false">
      <c r="C276" s="21" t="n">
        <f aca="false">calc!$D$276</f>
        <v>2</v>
      </c>
      <c r="D276" s="21" t="n">
        <f aca="false">calc!$E$276</f>
        <v>10</v>
      </c>
      <c r="E276" s="21" t="n">
        <f aca="false">calc!$K$276</f>
        <v>275</v>
      </c>
      <c r="F276" s="95" t="n">
        <f aca="false">calc!$AU$276</f>
        <v>371280.156240906</v>
      </c>
      <c r="G276" s="24" t="n">
        <f aca="false">calc!$AG$276</f>
        <v>-26.832677266883</v>
      </c>
      <c r="H276" s="96" t="n">
        <f aca="false">calc!$AH$276</f>
        <v>17.6697679197646</v>
      </c>
      <c r="I276" s="97" t="n">
        <f aca="false">H276*15</f>
        <v>265.04651879647</v>
      </c>
    </row>
    <row r="277" customFormat="false" ht="17" hidden="false" customHeight="true" outlineLevel="0" collapsed="false">
      <c r="C277" s="21" t="n">
        <f aca="false">calc!$D$277</f>
        <v>3</v>
      </c>
      <c r="D277" s="21" t="n">
        <f aca="false">calc!$E$277</f>
        <v>10</v>
      </c>
      <c r="E277" s="21" t="n">
        <f aca="false">calc!$K$277</f>
        <v>276</v>
      </c>
      <c r="F277" s="95" t="n">
        <f aca="false">calc!$AU$277</f>
        <v>370135.931121461</v>
      </c>
      <c r="G277" s="24" t="n">
        <f aca="false">calc!$AG$277</f>
        <v>-27.3837296587626</v>
      </c>
      <c r="H277" s="96" t="n">
        <f aca="false">calc!$AH$277</f>
        <v>18.7251632569905</v>
      </c>
      <c r="I277" s="97" t="n">
        <f aca="false">H277*15</f>
        <v>280.877448854857</v>
      </c>
    </row>
    <row r="278" customFormat="false" ht="17" hidden="false" customHeight="true" outlineLevel="0" collapsed="false">
      <c r="C278" s="21" t="n">
        <f aca="false">calc!$D$278</f>
        <v>4</v>
      </c>
      <c r="D278" s="21" t="n">
        <f aca="false">calc!$E$278</f>
        <v>10</v>
      </c>
      <c r="E278" s="21" t="n">
        <f aca="false">calc!$K$278</f>
        <v>277</v>
      </c>
      <c r="F278" s="95" t="n">
        <f aca="false">calc!$AU$278</f>
        <v>369469.835110635</v>
      </c>
      <c r="G278" s="24" t="n">
        <f aca="false">calc!$AG$278</f>
        <v>-26.1467315302771</v>
      </c>
      <c r="H278" s="96" t="n">
        <f aca="false">calc!$AH$278</f>
        <v>19.7787142849862</v>
      </c>
      <c r="I278" s="97" t="n">
        <f aca="false">H278*15</f>
        <v>296.680714274793</v>
      </c>
    </row>
    <row r="279" customFormat="false" ht="17" hidden="false" customHeight="true" outlineLevel="0" collapsed="false">
      <c r="C279" s="21" t="n">
        <f aca="false">calc!$D$279</f>
        <v>5</v>
      </c>
      <c r="D279" s="21" t="n">
        <f aca="false">calc!$E$279</f>
        <v>10</v>
      </c>
      <c r="E279" s="21" t="n">
        <f aca="false">calc!$K$279</f>
        <v>278</v>
      </c>
      <c r="F279" s="95" t="n">
        <f aca="false">calc!$AU$279</f>
        <v>369358.168557707</v>
      </c>
      <c r="G279" s="24" t="n">
        <f aca="false">calc!$AG$279</f>
        <v>-23.2322482924091</v>
      </c>
      <c r="H279" s="96" t="n">
        <f aca="false">calc!$AH$279</f>
        <v>20.7988283921199</v>
      </c>
      <c r="I279" s="97" t="n">
        <f aca="false">H279*15</f>
        <v>311.982425881799</v>
      </c>
    </row>
    <row r="280" customFormat="false" ht="17" hidden="false" customHeight="true" outlineLevel="0" collapsed="false">
      <c r="C280" s="21" t="n">
        <f aca="false">calc!$D$280</f>
        <v>6</v>
      </c>
      <c r="D280" s="21" t="n">
        <f aca="false">calc!$E$280</f>
        <v>10</v>
      </c>
      <c r="E280" s="21" t="n">
        <f aca="false">calc!$K$280</f>
        <v>279</v>
      </c>
      <c r="F280" s="95" t="n">
        <f aca="false">calc!$AU$280</f>
        <v>369903.130398636</v>
      </c>
      <c r="G280" s="24" t="n">
        <f aca="false">calc!$AG$280</f>
        <v>-18.9101533370082</v>
      </c>
      <c r="H280" s="96" t="n">
        <f aca="false">calc!$AH$280</f>
        <v>21.7663481107014</v>
      </c>
      <c r="I280" s="97" t="n">
        <f aca="false">H280*15</f>
        <v>326.495221660521</v>
      </c>
    </row>
    <row r="281" customFormat="false" ht="17" hidden="false" customHeight="true" outlineLevel="0" collapsed="false">
      <c r="C281" s="21" t="n">
        <f aca="false">calc!$D$281</f>
        <v>7</v>
      </c>
      <c r="D281" s="21" t="n">
        <f aca="false">calc!$E$281</f>
        <v>10</v>
      </c>
      <c r="E281" s="21" t="n">
        <f aca="false">calc!$K$281</f>
        <v>280</v>
      </c>
      <c r="F281" s="95" t="n">
        <f aca="false">calc!$AU$281</f>
        <v>371206.952623731</v>
      </c>
      <c r="G281" s="24" t="n">
        <f aca="false">calc!$AG$281</f>
        <v>-13.5392527948487</v>
      </c>
      <c r="H281" s="96" t="n">
        <f aca="false">calc!$AH$281</f>
        <v>22.6775615789522</v>
      </c>
      <c r="I281" s="97" t="n">
        <f aca="false">H281*15</f>
        <v>340.163423684282</v>
      </c>
    </row>
    <row r="282" customFormat="false" ht="17" hidden="false" customHeight="true" outlineLevel="0" collapsed="false">
      <c r="C282" s="21" t="n">
        <f aca="false">calc!$D$282</f>
        <v>8</v>
      </c>
      <c r="D282" s="21" t="n">
        <f aca="false">calc!$E$282</f>
        <v>10</v>
      </c>
      <c r="E282" s="21" t="n">
        <f aca="false">calc!$K$282</f>
        <v>281</v>
      </c>
      <c r="F282" s="95" t="n">
        <f aca="false">calc!$AU$282</f>
        <v>373337.568290348</v>
      </c>
      <c r="G282" s="24" t="n">
        <f aca="false">calc!$AG$282</f>
        <v>-7.50393326591389</v>
      </c>
      <c r="H282" s="96" t="n">
        <f aca="false">calc!$AH$282</f>
        <v>23.5405129724813</v>
      </c>
      <c r="I282" s="97" t="n">
        <f aca="false">H282*15</f>
        <v>353.10769458722</v>
      </c>
    </row>
    <row r="283" customFormat="false" ht="17" hidden="false" customHeight="true" outlineLevel="0" collapsed="false">
      <c r="C283" s="21" t="n">
        <f aca="false">calc!$D$283</f>
        <v>9</v>
      </c>
      <c r="D283" s="21" t="n">
        <f aca="false">calc!$E$283</f>
        <v>10</v>
      </c>
      <c r="E283" s="21" t="n">
        <f aca="false">calc!$K$283</f>
        <v>282</v>
      </c>
      <c r="F283" s="95" t="n">
        <f aca="false">calc!$AU$283</f>
        <v>376294.646632273</v>
      </c>
      <c r="G283" s="24" t="n">
        <f aca="false">calc!$AG$283</f>
        <v>-1.17605424970101</v>
      </c>
      <c r="H283" s="96" t="n">
        <f aca="false">calc!$AH$283</f>
        <v>0.369481238390404</v>
      </c>
      <c r="I283" s="97" t="n">
        <f aca="false">H283*15</f>
        <v>5.54221857585606</v>
      </c>
    </row>
    <row r="284" customFormat="false" ht="17" hidden="false" customHeight="true" outlineLevel="0" collapsed="false">
      <c r="C284" s="21" t="n">
        <f aca="false">calc!$D$284</f>
        <v>10</v>
      </c>
      <c r="D284" s="21" t="n">
        <f aca="false">calc!$E$284</f>
        <v>10</v>
      </c>
      <c r="E284" s="21" t="n">
        <f aca="false">calc!$K$284</f>
        <v>283</v>
      </c>
      <c r="F284" s="95" t="n">
        <f aca="false">calc!$AU$284</f>
        <v>379986.128348195</v>
      </c>
      <c r="G284" s="24" t="n">
        <f aca="false">calc!$AG$284</f>
        <v>5.10251141389722</v>
      </c>
      <c r="H284" s="96" t="n">
        <f aca="false">calc!$AH$284</f>
        <v>1.18067188679061</v>
      </c>
      <c r="I284" s="97" t="n">
        <f aca="false">H284*15</f>
        <v>17.7100783018592</v>
      </c>
    </row>
    <row r="285" customFormat="false" ht="17" hidden="false" customHeight="true" outlineLevel="0" collapsed="false">
      <c r="C285" s="21" t="n">
        <f aca="false">calc!$D$285</f>
        <v>11</v>
      </c>
      <c r="D285" s="21" t="n">
        <f aca="false">calc!$E$285</f>
        <v>10</v>
      </c>
      <c r="E285" s="21" t="n">
        <f aca="false">calc!$K$285</f>
        <v>284</v>
      </c>
      <c r="F285" s="95" t="n">
        <f aca="false">calc!$AU$285</f>
        <v>384222.934828096</v>
      </c>
      <c r="G285" s="24" t="n">
        <f aca="false">calc!$AG$285</f>
        <v>11.0265546512338</v>
      </c>
      <c r="H285" s="96" t="n">
        <f aca="false">calc!$AH$285</f>
        <v>1.98955094869378</v>
      </c>
      <c r="I285" s="97" t="n">
        <f aca="false">H285*15</f>
        <v>29.8432642304067</v>
      </c>
    </row>
    <row r="286" customFormat="false" ht="17" hidden="false" customHeight="true" outlineLevel="0" collapsed="false">
      <c r="C286" s="21" t="n">
        <f aca="false">calc!$D$286</f>
        <v>12</v>
      </c>
      <c r="D286" s="21" t="n">
        <f aca="false">calc!$E$286</f>
        <v>10</v>
      </c>
      <c r="E286" s="21" t="n">
        <f aca="false">calc!$K$286</f>
        <v>285</v>
      </c>
      <c r="F286" s="95" t="n">
        <f aca="false">calc!$AU$286</f>
        <v>388733.6378279</v>
      </c>
      <c r="G286" s="24" t="n">
        <f aca="false">calc!$AG$286</f>
        <v>16.3296122900362</v>
      </c>
      <c r="H286" s="96" t="n">
        <f aca="false">calc!$AH$286</f>
        <v>2.8091279848732</v>
      </c>
      <c r="I286" s="97" t="n">
        <f aca="false">H286*15</f>
        <v>42.1369197730979</v>
      </c>
    </row>
    <row r="287" customFormat="false" ht="17" hidden="false" customHeight="true" outlineLevel="0" collapsed="false">
      <c r="C287" s="21" t="n">
        <f aca="false">calc!$D$287</f>
        <v>13</v>
      </c>
      <c r="D287" s="21" t="n">
        <f aca="false">calc!$E$287</f>
        <v>10</v>
      </c>
      <c r="E287" s="21" t="n">
        <f aca="false">calc!$K$287</f>
        <v>286</v>
      </c>
      <c r="F287" s="95" t="n">
        <f aca="false">calc!$AU$287</f>
        <v>393194.332797055</v>
      </c>
      <c r="G287" s="24" t="n">
        <f aca="false">calc!$AG$287</f>
        <v>20.7844361697068</v>
      </c>
      <c r="H287" s="96" t="n">
        <f aca="false">calc!$AH$287</f>
        <v>3.6484765983758</v>
      </c>
      <c r="I287" s="97" t="n">
        <f aca="false">H287*15</f>
        <v>54.7271489756371</v>
      </c>
    </row>
    <row r="288" customFormat="false" ht="17" hidden="false" customHeight="true" outlineLevel="0" collapsed="false">
      <c r="C288" s="21" t="n">
        <f aca="false">calc!$D$288</f>
        <v>14</v>
      </c>
      <c r="D288" s="21" t="n">
        <f aca="false">calc!$E$288</f>
        <v>10</v>
      </c>
      <c r="E288" s="21" t="n">
        <f aca="false">calc!$K$288</f>
        <v>287</v>
      </c>
      <c r="F288" s="95" t="n">
        <f aca="false">calc!$AU$288</f>
        <v>397265.214038636</v>
      </c>
      <c r="G288" s="24" t="n">
        <f aca="false">calc!$AG$288</f>
        <v>24.2043958044116</v>
      </c>
      <c r="H288" s="96" t="n">
        <f aca="false">calc!$AH$288</f>
        <v>4.51122323209271</v>
      </c>
      <c r="I288" s="97" t="n">
        <f aca="false">H288*15</f>
        <v>67.6683484813906</v>
      </c>
    </row>
    <row r="289" customFormat="false" ht="17" hidden="false" customHeight="true" outlineLevel="0" collapsed="false">
      <c r="C289" s="21" t="n">
        <f aca="false">calc!$D$289</f>
        <v>15</v>
      </c>
      <c r="D289" s="21" t="n">
        <f aca="false">calc!$E$289</f>
        <v>10</v>
      </c>
      <c r="E289" s="21" t="n">
        <f aca="false">calc!$K$289</f>
        <v>288</v>
      </c>
      <c r="F289" s="95" t="n">
        <f aca="false">calc!$AU$289</f>
        <v>400625.949580846</v>
      </c>
      <c r="G289" s="24" t="n">
        <f aca="false">calc!$AG$289</f>
        <v>26.4485248017196</v>
      </c>
      <c r="H289" s="96" t="n">
        <f aca="false">calc!$AH$289</f>
        <v>5.39437827463536</v>
      </c>
      <c r="I289" s="97" t="n">
        <f aca="false">H289*15</f>
        <v>80.9156741195304</v>
      </c>
    </row>
    <row r="290" customFormat="false" ht="17" hidden="false" customHeight="true" outlineLevel="0" collapsed="false">
      <c r="C290" s="21" t="n">
        <f aca="false">calc!$D$290</f>
        <v>16</v>
      </c>
      <c r="D290" s="21" t="n">
        <f aca="false">calc!$E$290</f>
        <v>10</v>
      </c>
      <c r="E290" s="21" t="n">
        <f aca="false">calc!$K$290</f>
        <v>289</v>
      </c>
      <c r="F290" s="95" t="n">
        <f aca="false">calc!$AU$290</f>
        <v>403005.458617671</v>
      </c>
      <c r="G290" s="24" t="n">
        <f aca="false">calc!$AG$290</f>
        <v>27.4307395321364</v>
      </c>
      <c r="H290" s="96" t="n">
        <f aca="false">calc!$AH$290</f>
        <v>6.28845148292806</v>
      </c>
      <c r="I290" s="97" t="n">
        <f aca="false">H290*15</f>
        <v>94.3267722439209</v>
      </c>
    </row>
    <row r="291" customFormat="false" ht="17" hidden="false" customHeight="true" outlineLevel="0" collapsed="false">
      <c r="C291" s="21" t="n">
        <f aca="false">calc!$D$291</f>
        <v>17</v>
      </c>
      <c r="D291" s="21" t="n">
        <f aca="false">calc!$E$291</f>
        <v>10</v>
      </c>
      <c r="E291" s="21" t="n">
        <f aca="false">calc!$K$291</f>
        <v>290</v>
      </c>
      <c r="F291" s="95" t="n">
        <f aca="false">calc!$AU$291</f>
        <v>404205.102359907</v>
      </c>
      <c r="G291" s="24" t="n">
        <f aca="false">calc!$AG$291</f>
        <v>27.128951924684</v>
      </c>
      <c r="H291" s="96" t="n">
        <f aca="false">calc!$AH$291</f>
        <v>7.17969417752068</v>
      </c>
      <c r="I291" s="97" t="n">
        <f aca="false">H291*15</f>
        <v>107.69541266281</v>
      </c>
    </row>
    <row r="292" customFormat="false" ht="17" hidden="false" customHeight="true" outlineLevel="0" collapsed="false">
      <c r="C292" s="21" t="n">
        <f aca="false">calc!$D$292</f>
        <v>18</v>
      </c>
      <c r="D292" s="21" t="n">
        <f aca="false">calc!$E$292</f>
        <v>10</v>
      </c>
      <c r="E292" s="21" t="n">
        <f aca="false">calc!$K$292</f>
        <v>291</v>
      </c>
      <c r="F292" s="95" t="n">
        <f aca="false">calc!$AU$292</f>
        <v>404115.59750547</v>
      </c>
      <c r="G292" s="24" t="n">
        <f aca="false">calc!$AG$292</f>
        <v>25.586550497328</v>
      </c>
      <c r="H292" s="96" t="n">
        <f aca="false">calc!$AH$292</f>
        <v>8.05416297293768</v>
      </c>
      <c r="I292" s="97" t="n">
        <f aca="false">H292*15</f>
        <v>120.812444594065</v>
      </c>
    </row>
    <row r="293" customFormat="false" ht="17" hidden="false" customHeight="true" outlineLevel="0" collapsed="false">
      <c r="C293" s="21" t="n">
        <f aca="false">calc!$D$293</f>
        <v>19</v>
      </c>
      <c r="D293" s="21" t="n">
        <f aca="false">calc!$E$293</f>
        <v>10</v>
      </c>
      <c r="E293" s="21" t="n">
        <f aca="false">calc!$K$293</f>
        <v>292</v>
      </c>
      <c r="F293" s="95" t="n">
        <f aca="false">calc!$AU$293</f>
        <v>402727.438927862</v>
      </c>
      <c r="G293" s="24" t="n">
        <f aca="false">calc!$AG$293</f>
        <v>22.9019241194084</v>
      </c>
      <c r="H293" s="96" t="n">
        <f aca="false">calc!$AH$293</f>
        <v>8.90191169573455</v>
      </c>
      <c r="I293" s="97" t="n">
        <f aca="false">H293*15</f>
        <v>133.528675436018</v>
      </c>
    </row>
    <row r="294" customFormat="false" ht="17" hidden="false" customHeight="true" outlineLevel="0" collapsed="false">
      <c r="C294" s="21" t="n">
        <f aca="false">calc!$D$294</f>
        <v>20</v>
      </c>
      <c r="D294" s="21" t="n">
        <f aca="false">calc!$E$294</f>
        <v>10</v>
      </c>
      <c r="E294" s="21" t="n">
        <f aca="false">calc!$K$294</f>
        <v>293</v>
      </c>
      <c r="F294" s="95" t="n">
        <f aca="false">calc!$AU$294</f>
        <v>400133.913154532</v>
      </c>
      <c r="G294" s="24" t="n">
        <f aca="false">calc!$AG$294</f>
        <v>19.2098021453948</v>
      </c>
      <c r="H294" s="96" t="n">
        <f aca="false">calc!$AH$294</f>
        <v>9.71948566319343</v>
      </c>
      <c r="I294" s="97" t="n">
        <f aca="false">H294*15</f>
        <v>145.792284947901</v>
      </c>
    </row>
    <row r="295" customFormat="false" ht="17" hidden="false" customHeight="true" outlineLevel="0" collapsed="false">
      <c r="C295" s="21" t="n">
        <f aca="false">calc!$D$295</f>
        <v>21</v>
      </c>
      <c r="D295" s="21" t="n">
        <f aca="false">calc!$E$295</f>
        <v>10</v>
      </c>
      <c r="E295" s="21" t="n">
        <f aca="false">calc!$K$295</f>
        <v>294</v>
      </c>
      <c r="F295" s="95" t="n">
        <f aca="false">calc!$AU$295</f>
        <v>396525.927066574</v>
      </c>
      <c r="G295" s="24" t="n">
        <f aca="false">calc!$AG$295</f>
        <v>14.6637176578921</v>
      </c>
      <c r="H295" s="96" t="n">
        <f aca="false">calc!$AH$295</f>
        <v>10.5101879093197</v>
      </c>
      <c r="I295" s="97" t="n">
        <f aca="false">H295*15</f>
        <v>157.652818639795</v>
      </c>
    </row>
    <row r="296" customFormat="false" ht="17" hidden="false" customHeight="true" outlineLevel="0" collapsed="false">
      <c r="C296" s="21" t="n">
        <f aca="false">calc!$D$296</f>
        <v>22</v>
      </c>
      <c r="D296" s="21" t="n">
        <f aca="false">calc!$E$296</f>
        <v>10</v>
      </c>
      <c r="E296" s="21" t="n">
        <f aca="false">calc!$K$296</f>
        <v>295</v>
      </c>
      <c r="F296" s="95" t="n">
        <f aca="false">calc!$AU$296</f>
        <v>392178.44519009</v>
      </c>
      <c r="G296" s="24" t="n">
        <f aca="false">calc!$AG$296</f>
        <v>9.42763634382454</v>
      </c>
      <c r="H296" s="96" t="n">
        <f aca="false">calc!$AH$296</f>
        <v>11.2828994714535</v>
      </c>
      <c r="I296" s="97" t="n">
        <f aca="false">H296*15</f>
        <v>169.243492071802</v>
      </c>
    </row>
    <row r="297" customFormat="false" ht="17" hidden="false" customHeight="true" outlineLevel="0" collapsed="false">
      <c r="C297" s="21" t="n">
        <f aca="false">calc!$D$297</f>
        <v>23</v>
      </c>
      <c r="D297" s="21" t="n">
        <f aca="false">calc!$E$297</f>
        <v>10</v>
      </c>
      <c r="E297" s="21" t="n">
        <f aca="false">calc!$K$297</f>
        <v>296</v>
      </c>
      <c r="F297" s="95" t="n">
        <f aca="false">calc!$AU$297</f>
        <v>387428.461622192</v>
      </c>
      <c r="G297" s="24" t="n">
        <f aca="false">calc!$AG$297</f>
        <v>3.67949343919877</v>
      </c>
      <c r="H297" s="96" t="n">
        <f aca="false">calc!$AH$297</f>
        <v>12.0505342796608</v>
      </c>
      <c r="I297" s="97" t="n">
        <f aca="false">H297*15</f>
        <v>180.758014194912</v>
      </c>
    </row>
    <row r="298" customFormat="false" ht="17" hidden="false" customHeight="true" outlineLevel="0" collapsed="false">
      <c r="C298" s="21" t="n">
        <f aca="false">calc!$D$298</f>
        <v>24</v>
      </c>
      <c r="D298" s="21" t="n">
        <f aca="false">calc!$E$298</f>
        <v>10</v>
      </c>
      <c r="E298" s="21" t="n">
        <f aca="false">calc!$K$298</f>
        <v>297</v>
      </c>
      <c r="F298" s="95" t="n">
        <f aca="false">calc!$AU$298</f>
        <v>382644.337384136</v>
      </c>
      <c r="G298" s="24" t="n">
        <f aca="false">calc!$AG$298</f>
        <v>-2.37555305432774</v>
      </c>
      <c r="H298" s="96" t="n">
        <f aca="false">calc!$AH$298</f>
        <v>12.8287274227236</v>
      </c>
      <c r="I298" s="97" t="n">
        <f aca="false">H298*15</f>
        <v>192.430911340855</v>
      </c>
    </row>
    <row r="299" customFormat="false" ht="17" hidden="false" customHeight="true" outlineLevel="0" collapsed="false">
      <c r="C299" s="21" t="n">
        <f aca="false">calc!$D$299</f>
        <v>25</v>
      </c>
      <c r="D299" s="21" t="n">
        <f aca="false">calc!$E$299</f>
        <v>10</v>
      </c>
      <c r="E299" s="21" t="n">
        <f aca="false">calc!$K$299</f>
        <v>298</v>
      </c>
      <c r="F299" s="95" t="n">
        <f aca="false">calc!$AU$299</f>
        <v>378187.391599323</v>
      </c>
      <c r="G299" s="24" t="n">
        <f aca="false">calc!$AG$299</f>
        <v>-8.48734658407194</v>
      </c>
      <c r="H299" s="96" t="n">
        <f aca="false">calc!$AH$299</f>
        <v>13.6347117911178</v>
      </c>
      <c r="I299" s="97" t="n">
        <f aca="false">H299*15</f>
        <v>204.520676866766</v>
      </c>
    </row>
    <row r="300" customFormat="false" ht="17" hidden="false" customHeight="true" outlineLevel="0" collapsed="false">
      <c r="C300" s="21" t="n">
        <f aca="false">calc!$D$300</f>
        <v>26</v>
      </c>
      <c r="D300" s="21" t="n">
        <f aca="false">calc!$E$300</f>
        <v>10</v>
      </c>
      <c r="E300" s="21" t="n">
        <f aca="false">calc!$K$300</f>
        <v>299</v>
      </c>
      <c r="F300" s="95" t="n">
        <f aca="false">calc!$AU$300</f>
        <v>374369.771007691</v>
      </c>
      <c r="G300" s="24" t="n">
        <f aca="false">calc!$AG$300</f>
        <v>-14.3455278814392</v>
      </c>
      <c r="H300" s="96" t="n">
        <f aca="false">calc!$AH$300</f>
        <v>14.4858051920827</v>
      </c>
      <c r="I300" s="97" t="n">
        <f aca="false">H300*15</f>
        <v>217.28707788124</v>
      </c>
    </row>
    <row r="301" customFormat="false" ht="17" hidden="false" customHeight="true" outlineLevel="0" collapsed="false">
      <c r="C301" s="21" t="n">
        <f aca="false">calc!$D$301</f>
        <v>27</v>
      </c>
      <c r="D301" s="21" t="n">
        <f aca="false">calc!$E$301</f>
        <v>10</v>
      </c>
      <c r="E301" s="21" t="n">
        <f aca="false">calc!$K$301</f>
        <v>300</v>
      </c>
      <c r="F301" s="95" t="n">
        <f aca="false">calc!$AU$301</f>
        <v>371416.660252167</v>
      </c>
      <c r="G301" s="24" t="n">
        <f aca="false">calc!$AG$301</f>
        <v>-19.576229497182</v>
      </c>
      <c r="H301" s="96" t="n">
        <f aca="false">calc!$AH$301</f>
        <v>15.3965590549359</v>
      </c>
      <c r="I301" s="97" t="n">
        <f aca="false">H301*15</f>
        <v>230.948385824038</v>
      </c>
    </row>
    <row r="302" customFormat="false" ht="17" hidden="false" customHeight="true" outlineLevel="0" collapsed="false">
      <c r="C302" s="21" t="n">
        <f aca="false">calc!$D$302</f>
        <v>28</v>
      </c>
      <c r="D302" s="21" t="n">
        <f aca="false">calc!$E$302</f>
        <v>10</v>
      </c>
      <c r="E302" s="21" t="n">
        <f aca="false">calc!$K$302</f>
        <v>301</v>
      </c>
      <c r="F302" s="95" t="n">
        <f aca="false">calc!$AU$302</f>
        <v>369442.856973468</v>
      </c>
      <c r="G302" s="24" t="n">
        <f aca="false">calc!$AG$302</f>
        <v>-23.7630088873246</v>
      </c>
      <c r="H302" s="96" t="n">
        <f aca="false">calc!$AH$302</f>
        <v>16.3737534725109</v>
      </c>
      <c r="I302" s="97" t="n">
        <f aca="false">H302*15</f>
        <v>245.606302087663</v>
      </c>
    </row>
    <row r="303" customFormat="false" ht="17" hidden="false" customHeight="true" outlineLevel="0" collapsed="false">
      <c r="C303" s="21" t="n">
        <f aca="false">calc!$D$303</f>
        <v>29</v>
      </c>
      <c r="D303" s="21" t="n">
        <f aca="false">calc!$E$303</f>
        <v>10</v>
      </c>
      <c r="E303" s="21" t="n">
        <f aca="false">calc!$K$303</f>
        <v>302</v>
      </c>
      <c r="F303" s="95" t="n">
        <f aca="false">calc!$AU$303</f>
        <v>368451.171696808</v>
      </c>
      <c r="G303" s="24" t="n">
        <f aca="false">calc!$AG$303</f>
        <v>-26.5042510085634</v>
      </c>
      <c r="H303" s="96" t="n">
        <f aca="false">calc!$AH$303</f>
        <v>17.4100332984846</v>
      </c>
      <c r="I303" s="97" t="n">
        <f aca="false">H303*15</f>
        <v>261.150499477269</v>
      </c>
    </row>
    <row r="304" customFormat="false" ht="17" hidden="false" customHeight="true" outlineLevel="0" collapsed="false">
      <c r="C304" s="21" t="n">
        <f aca="false">calc!$D$304</f>
        <v>30</v>
      </c>
      <c r="D304" s="21" t="n">
        <f aca="false">calc!$E$304</f>
        <v>10</v>
      </c>
      <c r="E304" s="21" t="n">
        <f aca="false">calc!$K$304</f>
        <v>303</v>
      </c>
      <c r="F304" s="95" t="n">
        <f aca="false">calc!$AU$304</f>
        <v>368353.409166924</v>
      </c>
      <c r="G304" s="24" t="n">
        <f aca="false">calc!$AG$304</f>
        <v>-27.5046410896826</v>
      </c>
      <c r="H304" s="96" t="n">
        <f aca="false">calc!$AH$304</f>
        <v>18.4804634285172</v>
      </c>
      <c r="I304" s="97" t="n">
        <f aca="false">H304*15</f>
        <v>277.206951427757</v>
      </c>
    </row>
    <row r="305" customFormat="false" ht="17" hidden="false" customHeight="true" outlineLevel="0" collapsed="false">
      <c r="C305" s="21" t="n">
        <f aca="false">calc!$D$305</f>
        <v>31</v>
      </c>
      <c r="D305" s="21" t="n">
        <f aca="false">calc!$E$305</f>
        <v>10</v>
      </c>
      <c r="E305" s="21" t="n">
        <f aca="false">calc!$K$305</f>
        <v>304</v>
      </c>
      <c r="F305" s="95" t="n">
        <f aca="false">calc!$AU$305</f>
        <v>369007.135516517</v>
      </c>
      <c r="G305" s="24" t="n">
        <f aca="false">calc!$AG$305</f>
        <v>-26.6636690186475</v>
      </c>
      <c r="H305" s="96" t="n">
        <f aca="false">calc!$AH$305</f>
        <v>19.5479365514667</v>
      </c>
      <c r="I305" s="97" t="n">
        <f aca="false">H305*15</f>
        <v>293.219048272001</v>
      </c>
    </row>
    <row r="306" customFormat="false" ht="17" hidden="false" customHeight="true" outlineLevel="0" collapsed="false">
      <c r="C306" s="21" t="n">
        <f aca="false">calc!$D$306</f>
        <v>1</v>
      </c>
      <c r="D306" s="21" t="n">
        <f aca="false">calc!$E$306</f>
        <v>11</v>
      </c>
      <c r="E306" s="21" t="n">
        <f aca="false">calc!$K$306</f>
        <v>305</v>
      </c>
      <c r="F306" s="95" t="n">
        <f aca="false">calc!$AU$306</f>
        <v>370256.885058405</v>
      </c>
      <c r="G306" s="24" t="n">
        <f aca="false">calc!$AG$306</f>
        <v>-24.1023615206976</v>
      </c>
      <c r="H306" s="96" t="n">
        <f aca="false">calc!$AH$306</f>
        <v>20.5770761000395</v>
      </c>
      <c r="I306" s="97" t="n">
        <f aca="false">H306*15</f>
        <v>308.656141500592</v>
      </c>
    </row>
    <row r="307" customFormat="false" ht="17" hidden="false" customHeight="true" outlineLevel="0" collapsed="false">
      <c r="C307" s="21" t="n">
        <f aca="false">calc!$D$307</f>
        <v>2</v>
      </c>
      <c r="D307" s="21" t="n">
        <f aca="false">calc!$E$307</f>
        <v>11</v>
      </c>
      <c r="E307" s="21" t="n">
        <f aca="false">calc!$K$307</f>
        <v>306</v>
      </c>
      <c r="F307" s="95" t="n">
        <f aca="false">calc!$AU$307</f>
        <v>371968.629276787</v>
      </c>
      <c r="G307" s="24" t="n">
        <f aca="false">calc!$AG$307</f>
        <v>-20.107932759471</v>
      </c>
      <c r="H307" s="96" t="n">
        <f aca="false">calc!$AH$307</f>
        <v>21.5468928768778</v>
      </c>
      <c r="I307" s="97" t="n">
        <f aca="false">H307*15</f>
        <v>323.203393153167</v>
      </c>
    </row>
    <row r="308" customFormat="false" ht="17" hidden="false" customHeight="true" outlineLevel="0" collapsed="false">
      <c r="C308" s="21" t="n">
        <f aca="false">calc!$D$308</f>
        <v>3</v>
      </c>
      <c r="D308" s="21" t="n">
        <f aca="false">calc!$E$308</f>
        <v>11</v>
      </c>
      <c r="E308" s="21" t="n">
        <f aca="false">calc!$K$308</f>
        <v>307</v>
      </c>
      <c r="F308" s="95" t="n">
        <f aca="false">calc!$AU$308</f>
        <v>374050.05178348</v>
      </c>
      <c r="G308" s="24" t="n">
        <f aca="false">calc!$AG$308</f>
        <v>-15.0418629394057</v>
      </c>
      <c r="H308" s="96" t="n">
        <f aca="false">calc!$AH$308</f>
        <v>22.4539358992389</v>
      </c>
      <c r="I308" s="97" t="n">
        <f aca="false">H308*15</f>
        <v>336.809038488584</v>
      </c>
    </row>
    <row r="309" customFormat="false" ht="17" hidden="false" customHeight="true" outlineLevel="0" collapsed="false">
      <c r="C309" s="21" t="n">
        <f aca="false">calc!$D$309</f>
        <v>4</v>
      </c>
      <c r="D309" s="21" t="n">
        <f aca="false">calc!$E$309</f>
        <v>11</v>
      </c>
      <c r="E309" s="21" t="n">
        <f aca="false">calc!$K$309</f>
        <v>308</v>
      </c>
      <c r="F309" s="95" t="n">
        <f aca="false">calc!$AU$309</f>
        <v>376453.940792965</v>
      </c>
      <c r="G309" s="24" t="n">
        <f aca="false">calc!$AG$309</f>
        <v>-9.26903749029933</v>
      </c>
      <c r="H309" s="96" t="n">
        <f aca="false">calc!$AH$309</f>
        <v>23.3076273996467</v>
      </c>
      <c r="I309" s="97" t="n">
        <f aca="false">H309*15</f>
        <v>349.6144109947</v>
      </c>
    </row>
    <row r="310" customFormat="false" ht="17" hidden="false" customHeight="true" outlineLevel="0" collapsed="false">
      <c r="C310" s="21" t="n">
        <f aca="false">calc!$D$310</f>
        <v>5</v>
      </c>
      <c r="D310" s="21" t="n">
        <f aca="false">calc!$E$310</f>
        <v>11</v>
      </c>
      <c r="E310" s="21" t="n">
        <f aca="false">calc!$K$310</f>
        <v>309</v>
      </c>
      <c r="F310" s="95" t="n">
        <f aca="false">calc!$AU$310</f>
        <v>379166.077554248</v>
      </c>
      <c r="G310" s="24" t="n">
        <f aca="false">calc!$AG$310</f>
        <v>-3.12695737969334</v>
      </c>
      <c r="H310" s="96" t="n">
        <f aca="false">calc!$AH$310</f>
        <v>0.12388040419513</v>
      </c>
      <c r="I310" s="97" t="n">
        <f aca="false">H310*15</f>
        <v>1.85820606292696</v>
      </c>
    </row>
    <row r="311" customFormat="false" ht="17" hidden="false" customHeight="true" outlineLevel="0" collapsed="false">
      <c r="C311" s="21" t="n">
        <f aca="false">calc!$D$311</f>
        <v>6</v>
      </c>
      <c r="D311" s="21" t="n">
        <f aca="false">calc!$E$311</f>
        <v>11</v>
      </c>
      <c r="E311" s="21" t="n">
        <f aca="false">calc!$K$311</f>
        <v>310</v>
      </c>
      <c r="F311" s="95" t="n">
        <f aca="false">calc!$AU$311</f>
        <v>382182.067125915</v>
      </c>
      <c r="G311" s="24" t="n">
        <f aca="false">calc!$AG$311</f>
        <v>3.07749447048287</v>
      </c>
      <c r="H311" s="96" t="n">
        <f aca="false">calc!$AH$311</f>
        <v>0.920459407839352</v>
      </c>
      <c r="I311" s="97" t="n">
        <f aca="false">H311*15</f>
        <v>13.8068911175903</v>
      </c>
    </row>
    <row r="312" customFormat="false" ht="17" hidden="false" customHeight="true" outlineLevel="0" collapsed="false">
      <c r="C312" s="21" t="n">
        <f aca="false">calc!$D$312</f>
        <v>7</v>
      </c>
      <c r="D312" s="21" t="n">
        <f aca="false">calc!$E$312</f>
        <v>11</v>
      </c>
      <c r="E312" s="21" t="n">
        <f aca="false">calc!$K$312</f>
        <v>311</v>
      </c>
      <c r="F312" s="95" t="n">
        <f aca="false">calc!$AU$312</f>
        <v>385479.822966348</v>
      </c>
      <c r="G312" s="24" t="n">
        <f aca="false">calc!$AG$312</f>
        <v>9.06148410147543</v>
      </c>
      <c r="H312" s="96" t="n">
        <f aca="false">calc!$AH$312</f>
        <v>1.71433168363238</v>
      </c>
      <c r="I312" s="97" t="n">
        <f aca="false">H312*15</f>
        <v>25.7149752544857</v>
      </c>
    </row>
    <row r="313" customFormat="false" ht="17" hidden="false" customHeight="true" outlineLevel="0" collapsed="false">
      <c r="C313" s="21" t="n">
        <f aca="false">calc!$D$313</f>
        <v>8</v>
      </c>
      <c r="D313" s="21" t="n">
        <f aca="false">calc!$E$313</f>
        <v>11</v>
      </c>
      <c r="E313" s="21" t="n">
        <f aca="false">calc!$K$313</f>
        <v>312</v>
      </c>
      <c r="F313" s="95" t="n">
        <f aca="false">calc!$AU$313</f>
        <v>388995.453223788</v>
      </c>
      <c r="G313" s="24" t="n">
        <f aca="false">calc!$AG$313</f>
        <v>14.5607544812299</v>
      </c>
      <c r="H313" s="96" t="n">
        <f aca="false">calc!$AH$313</f>
        <v>2.52005621571524</v>
      </c>
      <c r="I313" s="97" t="n">
        <f aca="false">H313*15</f>
        <v>37.8008432357286</v>
      </c>
    </row>
    <row r="314" customFormat="false" ht="17" hidden="false" customHeight="true" outlineLevel="0" collapsed="false">
      <c r="C314" s="21" t="n">
        <f aca="false">calc!$D$314</f>
        <v>9</v>
      </c>
      <c r="D314" s="21" t="n">
        <f aca="false">calc!$E$314</f>
        <v>11</v>
      </c>
      <c r="E314" s="21" t="n">
        <f aca="false">calc!$K$314</f>
        <v>313</v>
      </c>
      <c r="F314" s="95" t="n">
        <f aca="false">calc!$AU$314</f>
        <v>392609.21225455</v>
      </c>
      <c r="G314" s="24" t="n">
        <f aca="false">calc!$AG$314</f>
        <v>19.3296483425768</v>
      </c>
      <c r="H314" s="96" t="n">
        <f aca="false">calc!$AH$314</f>
        <v>3.34832139331267</v>
      </c>
      <c r="I314" s="97" t="n">
        <f aca="false">H314*15</f>
        <v>50.22482089969</v>
      </c>
    </row>
    <row r="315" customFormat="false" ht="17" hidden="false" customHeight="true" outlineLevel="0" collapsed="false">
      <c r="C315" s="21" t="n">
        <f aca="false">calc!$D$315</f>
        <v>10</v>
      </c>
      <c r="D315" s="21" t="n">
        <f aca="false">calc!$E$315</f>
        <v>11</v>
      </c>
      <c r="E315" s="21" t="n">
        <f aca="false">calc!$K$315</f>
        <v>314</v>
      </c>
      <c r="F315" s="95" t="n">
        <f aca="false">calc!$AU$315</f>
        <v>396144.842420841</v>
      </c>
      <c r="G315" s="24" t="n">
        <f aca="false">calc!$AG$315</f>
        <v>23.147992606496</v>
      </c>
      <c r="H315" s="96" t="n">
        <f aca="false">calc!$AH$315</f>
        <v>4.20424963781429</v>
      </c>
      <c r="I315" s="97" t="n">
        <f aca="false">H315*15</f>
        <v>63.0637445672143</v>
      </c>
    </row>
    <row r="316" customFormat="false" ht="17" hidden="false" customHeight="true" outlineLevel="0" collapsed="false">
      <c r="C316" s="21" t="n">
        <f aca="false">calc!$D$316</f>
        <v>11</v>
      </c>
      <c r="D316" s="21" t="n">
        <f aca="false">calc!$E$316</f>
        <v>11</v>
      </c>
      <c r="E316" s="21" t="n">
        <f aca="false">calc!$K$316</f>
        <v>315</v>
      </c>
      <c r="F316" s="95" t="n">
        <f aca="false">calc!$AU$316</f>
        <v>399381.424394686</v>
      </c>
      <c r="G316" s="24" t="n">
        <f aca="false">calc!$AG$316</f>
        <v>25.8349810368491</v>
      </c>
      <c r="H316" s="96" t="n">
        <f aca="false">calc!$AH$316</f>
        <v>5.08580760944483</v>
      </c>
      <c r="I316" s="97" t="n">
        <f aca="false">H316*15</f>
        <v>76.2871141416724</v>
      </c>
    </row>
    <row r="317" customFormat="false" ht="17" hidden="false" customHeight="true" outlineLevel="0" collapsed="false">
      <c r="C317" s="21" t="n">
        <f aca="false">calc!$D$317</f>
        <v>12</v>
      </c>
      <c r="D317" s="21" t="n">
        <f aca="false">calc!$E$317</f>
        <v>11</v>
      </c>
      <c r="E317" s="21" t="n">
        <f aca="false">calc!$K$317</f>
        <v>316</v>
      </c>
      <c r="F317" s="95" t="n">
        <f aca="false">calc!$AU$317</f>
        <v>402073.89863423</v>
      </c>
      <c r="G317" s="24" t="n">
        <f aca="false">calc!$AG$317</f>
        <v>27.2678381817238</v>
      </c>
      <c r="H317" s="96" t="n">
        <f aca="false">calc!$AH$317</f>
        <v>5.98340150755389</v>
      </c>
      <c r="I317" s="97" t="n">
        <f aca="false">H317*15</f>
        <v>89.7510226133083</v>
      </c>
    </row>
    <row r="318" customFormat="false" ht="17" hidden="false" customHeight="true" outlineLevel="0" collapsed="false">
      <c r="C318" s="21" t="n">
        <f aca="false">calc!$D$318</f>
        <v>13</v>
      </c>
      <c r="D318" s="21" t="n">
        <f aca="false">calc!$E$318</f>
        <v>11</v>
      </c>
      <c r="E318" s="21" t="n">
        <f aca="false">calc!$K$318</f>
        <v>317</v>
      </c>
      <c r="F318" s="95" t="n">
        <f aca="false">calc!$AU$318</f>
        <v>403977.879696008</v>
      </c>
      <c r="G318" s="24" t="n">
        <f aca="false">calc!$AG$318</f>
        <v>27.3985278274464</v>
      </c>
      <c r="H318" s="96" t="n">
        <f aca="false">calc!$AH$318</f>
        <v>6.88185080103501</v>
      </c>
      <c r="I318" s="97" t="n">
        <f aca="false">H318*15</f>
        <v>103.227762015525</v>
      </c>
    </row>
    <row r="319" customFormat="false" ht="17" hidden="false" customHeight="true" outlineLevel="0" collapsed="false">
      <c r="C319" s="21" t="n">
        <f aca="false">calc!$D$319</f>
        <v>14</v>
      </c>
      <c r="D319" s="21" t="n">
        <f aca="false">calc!$E$319</f>
        <v>11</v>
      </c>
      <c r="E319" s="21" t="n">
        <f aca="false">calc!$K$319</f>
        <v>318</v>
      </c>
      <c r="F319" s="95" t="n">
        <f aca="false">calc!$AU$319</f>
        <v>404875.580718657</v>
      </c>
      <c r="G319" s="24" t="n">
        <f aca="false">calc!$AG$319</f>
        <v>26.2587591363976</v>
      </c>
      <c r="H319" s="96" t="n">
        <f aca="false">calc!$AH$319</f>
        <v>7.76475579646482</v>
      </c>
      <c r="I319" s="97" t="n">
        <f aca="false">H319*15</f>
        <v>116.471336946972</v>
      </c>
    </row>
    <row r="320" customFormat="false" ht="17" hidden="false" customHeight="true" outlineLevel="0" collapsed="false">
      <c r="C320" s="21" t="n">
        <f aca="false">calc!$D$320</f>
        <v>15</v>
      </c>
      <c r="D320" s="21" t="n">
        <f aca="false">calc!$E$320</f>
        <v>11</v>
      </c>
      <c r="E320" s="21" t="n">
        <f aca="false">calc!$K$320</f>
        <v>319</v>
      </c>
      <c r="F320" s="95" t="n">
        <f aca="false">calc!$AU$320</f>
        <v>404600.917147587</v>
      </c>
      <c r="G320" s="24" t="n">
        <f aca="false">calc!$AG$320</f>
        <v>23.9476527123069</v>
      </c>
      <c r="H320" s="96" t="n">
        <f aca="false">calc!$AH$320</f>
        <v>8.61946698851802</v>
      </c>
      <c r="I320" s="97" t="n">
        <f aca="false">H320*15</f>
        <v>129.29200482777</v>
      </c>
    </row>
    <row r="321" customFormat="false" ht="17" hidden="false" customHeight="true" outlineLevel="0" collapsed="false">
      <c r="C321" s="21" t="n">
        <f aca="false">calc!$D$321</f>
        <v>16</v>
      </c>
      <c r="D321" s="21" t="n">
        <f aca="false">calc!$E$321</f>
        <v>11</v>
      </c>
      <c r="E321" s="21" t="n">
        <f aca="false">calc!$K$321</f>
        <v>320</v>
      </c>
      <c r="F321" s="95" t="n">
        <f aca="false">calc!$AU$321</f>
        <v>403062.147405508</v>
      </c>
      <c r="G321" s="24" t="n">
        <f aca="false">calc!$AG$321</f>
        <v>20.6065798853823</v>
      </c>
      <c r="H321" s="96" t="n">
        <f aca="false">calc!$AH$321</f>
        <v>9.44034036058575</v>
      </c>
      <c r="I321" s="97" t="n">
        <f aca="false">H321*15</f>
        <v>141.605105408786</v>
      </c>
    </row>
    <row r="322" customFormat="false" ht="17" hidden="false" customHeight="true" outlineLevel="0" collapsed="false">
      <c r="C322" s="21" t="n">
        <f aca="false">calc!$D$322</f>
        <v>17</v>
      </c>
      <c r="D322" s="21" t="n">
        <f aca="false">calc!$E$322</f>
        <v>11</v>
      </c>
      <c r="E322" s="21" t="n">
        <f aca="false">calc!$K$322</f>
        <v>321</v>
      </c>
      <c r="F322" s="95" t="n">
        <f aca="false">calc!$AU$322</f>
        <v>400260.11335897</v>
      </c>
      <c r="G322" s="24" t="n">
        <f aca="false">calc!$AG$322</f>
        <v>16.3930380080059</v>
      </c>
      <c r="H322" s="96" t="n">
        <f aca="false">calc!$AH$322</f>
        <v>10.2293611400303</v>
      </c>
      <c r="I322" s="97" t="n">
        <f aca="false">H322*15</f>
        <v>153.440417100455</v>
      </c>
    </row>
    <row r="323" customFormat="false" ht="17" hidden="false" customHeight="true" outlineLevel="0" collapsed="false">
      <c r="C323" s="21" t="n">
        <f aca="false">calc!$D$323</f>
        <v>18</v>
      </c>
      <c r="D323" s="21" t="n">
        <f aca="false">calc!$E$323</f>
        <v>11</v>
      </c>
      <c r="E323" s="21" t="n">
        <f aca="false">calc!$K$323</f>
        <v>322</v>
      </c>
      <c r="F323" s="95" t="n">
        <f aca="false">calc!$AU$323</f>
        <v>396300.164964285</v>
      </c>
      <c r="G323" s="24" t="n">
        <f aca="false">calc!$AG$323</f>
        <v>11.4644116139319</v>
      </c>
      <c r="H323" s="96" t="n">
        <f aca="false">calc!$AH$323</f>
        <v>10.994926758531</v>
      </c>
      <c r="I323" s="97" t="n">
        <f aca="false">H323*15</f>
        <v>164.923901377966</v>
      </c>
    </row>
    <row r="324" customFormat="false" ht="17" hidden="false" customHeight="true" outlineLevel="0" collapsed="false">
      <c r="C324" s="21" t="n">
        <f aca="false">calc!$D$324</f>
        <v>19</v>
      </c>
      <c r="D324" s="21" t="n">
        <f aca="false">calc!$E$324</f>
        <v>11</v>
      </c>
      <c r="E324" s="21" t="n">
        <f aca="false">calc!$K$324</f>
        <v>323</v>
      </c>
      <c r="F324" s="95" t="n">
        <f aca="false">calc!$AU$324</f>
        <v>391396.260589157</v>
      </c>
      <c r="G324" s="24" t="n">
        <f aca="false">calc!$AG$324</f>
        <v>5.97649361774005</v>
      </c>
      <c r="H324" s="96" t="n">
        <f aca="false">calc!$AH$324</f>
        <v>11.7501083486045</v>
      </c>
      <c r="I324" s="97" t="n">
        <f aca="false">H324*15</f>
        <v>176.251625229067</v>
      </c>
    </row>
    <row r="325" customFormat="false" ht="17" hidden="false" customHeight="true" outlineLevel="0" collapsed="false">
      <c r="C325" s="21" t="n">
        <f aca="false">calc!$D$325</f>
        <v>20</v>
      </c>
      <c r="D325" s="21" t="n">
        <f aca="false">calc!$E$325</f>
        <v>11</v>
      </c>
      <c r="E325" s="21" t="n">
        <f aca="false">calc!$K$325</f>
        <v>324</v>
      </c>
      <c r="F325" s="95" t="n">
        <f aca="false">calc!$AU$325</f>
        <v>385865.643120347</v>
      </c>
      <c r="G325" s="24" t="n">
        <f aca="false">calc!$AG$325</f>
        <v>0.0962439749710889</v>
      </c>
      <c r="H325" s="96" t="n">
        <f aca="false">calc!$AH$325</f>
        <v>12.5112173087971</v>
      </c>
      <c r="I325" s="97" t="n">
        <f aca="false">H325*15</f>
        <v>187.668259631956</v>
      </c>
    </row>
    <row r="326" customFormat="false" ht="17" hidden="false" customHeight="true" outlineLevel="0" collapsed="false">
      <c r="C326" s="21" t="n">
        <f aca="false">calc!$D$326</f>
        <v>21</v>
      </c>
      <c r="D326" s="21" t="n">
        <f aca="false">calc!$E$326</f>
        <v>11</v>
      </c>
      <c r="E326" s="21" t="n">
        <f aca="false">calc!$K$326</f>
        <v>325</v>
      </c>
      <c r="F326" s="95" t="n">
        <f aca="false">calc!$AU$326</f>
        <v>380111.457603336</v>
      </c>
      <c r="G326" s="24" t="n">
        <f aca="false">calc!$AG$326</f>
        <v>-5.97494317581434</v>
      </c>
      <c r="H326" s="96" t="n">
        <f aca="false">calc!$AH$326</f>
        <v>13.2967819075282</v>
      </c>
      <c r="I326" s="97" t="n">
        <f aca="false">H326*15</f>
        <v>199.451728612923</v>
      </c>
    </row>
    <row r="327" customFormat="false" ht="17" hidden="false" customHeight="true" outlineLevel="0" collapsed="false">
      <c r="C327" s="21" t="n">
        <f aca="false">calc!$D$327</f>
        <v>22</v>
      </c>
      <c r="D327" s="21" t="n">
        <f aca="false">calc!$E$327</f>
        <v>11</v>
      </c>
      <c r="E327" s="21" t="n">
        <f aca="false">calc!$K$327</f>
        <v>326</v>
      </c>
      <c r="F327" s="95" t="n">
        <f aca="false">calc!$AU$327</f>
        <v>374589.997451524</v>
      </c>
      <c r="G327" s="24" t="n">
        <f aca="false">calc!$AG$327</f>
        <v>-11.9736586558611</v>
      </c>
      <c r="H327" s="96" t="n">
        <f aca="false">calc!$AH$327</f>
        <v>14.1264406149884</v>
      </c>
      <c r="I327" s="97" t="n">
        <f aca="false">H327*15</f>
        <v>211.896609224826</v>
      </c>
    </row>
    <row r="328" customFormat="false" ht="17" hidden="false" customHeight="true" outlineLevel="0" collapsed="false">
      <c r="C328" s="21" t="n">
        <f aca="false">calc!$D$328</f>
        <v>23</v>
      </c>
      <c r="D328" s="21" t="n">
        <f aca="false">calc!$E$328</f>
        <v>11</v>
      </c>
      <c r="E328" s="21" t="n">
        <f aca="false">calc!$K$328</f>
        <v>327</v>
      </c>
      <c r="F328" s="95" t="n">
        <f aca="false">calc!$AU$328</f>
        <v>369761.37201225</v>
      </c>
      <c r="G328" s="24" t="n">
        <f aca="false">calc!$AG$328</f>
        <v>-17.5524754346435</v>
      </c>
      <c r="H328" s="96" t="n">
        <f aca="false">calc!$AH$328</f>
        <v>15.0187302407493</v>
      </c>
      <c r="I328" s="97" t="n">
        <f aca="false">H328*15</f>
        <v>225.28095361124</v>
      </c>
    </row>
    <row r="329" customFormat="false" ht="17" hidden="false" customHeight="true" outlineLevel="0" collapsed="false">
      <c r="C329" s="21" t="n">
        <f aca="false">calc!$D$329</f>
        <v>24</v>
      </c>
      <c r="D329" s="21" t="n">
        <f aca="false">calc!$E$329</f>
        <v>11</v>
      </c>
      <c r="E329" s="21" t="n">
        <f aca="false">calc!$K$329</f>
        <v>328</v>
      </c>
      <c r="F329" s="95" t="n">
        <f aca="false">calc!$AU$329</f>
        <v>366028.38933878</v>
      </c>
      <c r="G329" s="24" t="n">
        <f aca="false">calc!$AG$329</f>
        <v>-22.2795769661018</v>
      </c>
      <c r="H329" s="96" t="n">
        <f aca="false">calc!$AH$329</f>
        <v>15.9864066467127</v>
      </c>
      <c r="I329" s="97" t="n">
        <f aca="false">H329*15</f>
        <v>239.796099700691</v>
      </c>
    </row>
    <row r="330" customFormat="false" ht="17" hidden="false" customHeight="true" outlineLevel="0" collapsed="false">
      <c r="C330" s="21" t="n">
        <f aca="false">calc!$D$330</f>
        <v>25</v>
      </c>
      <c r="D330" s="21" t="n">
        <f aca="false">calc!$E$330</f>
        <v>11</v>
      </c>
      <c r="E330" s="21" t="n">
        <f aca="false">calc!$K$330</f>
        <v>329</v>
      </c>
      <c r="F330" s="95" t="n">
        <f aca="false">calc!$AU$330</f>
        <v>363676.10661946</v>
      </c>
      <c r="G330" s="24" t="n">
        <f aca="false">calc!$AG$330</f>
        <v>-25.6822757896931</v>
      </c>
      <c r="H330" s="96" t="n">
        <f aca="false">calc!$AH$330</f>
        <v>17.0287970871476</v>
      </c>
      <c r="I330" s="97" t="n">
        <f aca="false">H330*15</f>
        <v>255.431956307214</v>
      </c>
    </row>
    <row r="331" customFormat="false" ht="17" hidden="false" customHeight="true" outlineLevel="0" collapsed="false">
      <c r="C331" s="21" t="n">
        <f aca="false">calc!$D$331</f>
        <v>26</v>
      </c>
      <c r="D331" s="21" t="n">
        <f aca="false">calc!$E$331</f>
        <v>11</v>
      </c>
      <c r="E331" s="21" t="n">
        <f aca="false">calc!$K$331</f>
        <v>330</v>
      </c>
      <c r="F331" s="95" t="n">
        <f aca="false">calc!$AU$331</f>
        <v>362828.948163907</v>
      </c>
      <c r="G331" s="24" t="n">
        <f aca="false">calc!$AG$331</f>
        <v>-27.3494219964179</v>
      </c>
      <c r="H331" s="96" t="n">
        <f aca="false">calc!$AH$331</f>
        <v>18.1244752768111</v>
      </c>
      <c r="I331" s="97" t="n">
        <f aca="false">H331*15</f>
        <v>271.867129152167</v>
      </c>
    </row>
    <row r="332" customFormat="false" ht="17" hidden="false" customHeight="true" outlineLevel="0" collapsed="false">
      <c r="C332" s="21" t="n">
        <f aca="false">calc!$D$332</f>
        <v>27</v>
      </c>
      <c r="D332" s="21" t="n">
        <f aca="false">calc!$E$332</f>
        <v>11</v>
      </c>
      <c r="E332" s="21" t="n">
        <f aca="false">calc!$K$332</f>
        <v>331</v>
      </c>
      <c r="F332" s="95" t="n">
        <f aca="false">calc!$AU$332</f>
        <v>363439.450873429</v>
      </c>
      <c r="G332" s="24" t="n">
        <f aca="false">calc!$AG$332</f>
        <v>-27.0657660069383</v>
      </c>
      <c r="H332" s="96" t="n">
        <f aca="false">calc!$AH$332</f>
        <v>19.2325302466276</v>
      </c>
      <c r="I332" s="97" t="n">
        <f aca="false">H332*15</f>
        <v>288.487953699413</v>
      </c>
    </row>
    <row r="333" customFormat="false" ht="17" hidden="false" customHeight="true" outlineLevel="0" collapsed="false">
      <c r="C333" s="21" t="n">
        <f aca="false">calc!$D$333</f>
        <v>28</v>
      </c>
      <c r="D333" s="21" t="n">
        <f aca="false">calc!$E$333</f>
        <v>11</v>
      </c>
      <c r="E333" s="21" t="n">
        <f aca="false">calc!$K$333</f>
        <v>332</v>
      </c>
      <c r="F333" s="95" t="n">
        <f aca="false">calc!$AU$333</f>
        <v>365312.714327888</v>
      </c>
      <c r="G333" s="24" t="n">
        <f aca="false">calc!$AG$333</f>
        <v>-24.8942297931392</v>
      </c>
      <c r="H333" s="96" t="n">
        <f aca="false">calc!$AH$333</f>
        <v>20.3072994978609</v>
      </c>
      <c r="I333" s="97" t="n">
        <f aca="false">H333*15</f>
        <v>304.609492467914</v>
      </c>
    </row>
    <row r="334" customFormat="false" ht="17" hidden="false" customHeight="true" outlineLevel="0" collapsed="false">
      <c r="C334" s="21" t="n">
        <f aca="false">calc!$D$334</f>
        <v>29</v>
      </c>
      <c r="D334" s="21" t="n">
        <f aca="false">calc!$E$334</f>
        <v>11</v>
      </c>
      <c r="E334" s="21" t="n">
        <f aca="false">calc!$K$334</f>
        <v>333</v>
      </c>
      <c r="F334" s="95" t="n">
        <f aca="false">calc!$AU$334</f>
        <v>368158.289395997</v>
      </c>
      <c r="G334" s="24" t="n">
        <f aca="false">calc!$AG$334</f>
        <v>-21.1376216749966</v>
      </c>
      <c r="H334" s="96" t="n">
        <f aca="false">calc!$AH$334</f>
        <v>21.3170727989176</v>
      </c>
      <c r="I334" s="97" t="n">
        <f aca="false">H334*15</f>
        <v>319.756091983764</v>
      </c>
    </row>
    <row r="335" customFormat="false" ht="17" hidden="false" customHeight="true" outlineLevel="0" collapsed="false">
      <c r="C335" s="21" t="n">
        <f aca="false">calc!$D$335</f>
        <v>30</v>
      </c>
      <c r="D335" s="21" t="n">
        <f aca="false">calc!$E$335</f>
        <v>11</v>
      </c>
      <c r="E335" s="21" t="n">
        <f aca="false">calc!$K$335</f>
        <v>334</v>
      </c>
      <c r="F335" s="95" t="n">
        <f aca="false">calc!$AU$335</f>
        <v>371652.823768752</v>
      </c>
      <c r="G335" s="24" t="n">
        <f aca="false">calc!$AG$335</f>
        <v>-16.2149863685141</v>
      </c>
      <c r="H335" s="96" t="n">
        <f aca="false">calc!$AH$335</f>
        <v>22.2521439379834</v>
      </c>
      <c r="I335" s="97" t="n">
        <f aca="false">H335*15</f>
        <v>333.782159069751</v>
      </c>
    </row>
    <row r="336" customFormat="false" ht="17" hidden="false" customHeight="true" outlineLevel="0" collapsed="false">
      <c r="C336" s="21" t="n">
        <f aca="false">calc!$D$336</f>
        <v>1</v>
      </c>
      <c r="D336" s="21" t="n">
        <f aca="false">calc!$E$336</f>
        <v>12</v>
      </c>
      <c r="E336" s="21" t="n">
        <f aca="false">calc!$K$336</f>
        <v>335</v>
      </c>
      <c r="F336" s="95" t="n">
        <f aca="false">calc!$AU$336</f>
        <v>375495.904139444</v>
      </c>
      <c r="G336" s="24" t="n">
        <f aca="false">calc!$AG$336</f>
        <v>-10.54635757293</v>
      </c>
      <c r="H336" s="96" t="n">
        <f aca="false">calc!$AH$336</f>
        <v>23.1204796385858</v>
      </c>
      <c r="I336" s="97" t="n">
        <f aca="false">H336*15</f>
        <v>346.807194578788</v>
      </c>
    </row>
    <row r="337" customFormat="false" ht="17" hidden="false" customHeight="true" outlineLevel="0" collapsed="false">
      <c r="C337" s="21" t="n">
        <f aca="false">calc!$D$337</f>
        <v>2</v>
      </c>
      <c r="D337" s="21" t="n">
        <f aca="false">calc!$E$337</f>
        <v>12</v>
      </c>
      <c r="E337" s="21" t="n">
        <f aca="false">calc!$K$337</f>
        <v>336</v>
      </c>
      <c r="F337" s="95" t="n">
        <f aca="false">calc!$AU$337</f>
        <v>379447.182573205</v>
      </c>
      <c r="G337" s="24" t="n">
        <f aca="false">calc!$AG$337</f>
        <v>-4.49606493915941</v>
      </c>
      <c r="H337" s="96" t="n">
        <f aca="false">calc!$AH$337</f>
        <v>23.939332007014</v>
      </c>
      <c r="I337" s="97" t="n">
        <f aca="false">H337*15</f>
        <v>359.089980105209</v>
      </c>
    </row>
    <row r="338" customFormat="false" ht="17" hidden="false" customHeight="true" outlineLevel="0" collapsed="false">
      <c r="C338" s="21" t="n">
        <f aca="false">calc!$D$338</f>
        <v>3</v>
      </c>
      <c r="D338" s="21" t="n">
        <f aca="false">calc!$E$338</f>
        <v>12</v>
      </c>
      <c r="E338" s="21" t="n">
        <f aca="false">calc!$K$338</f>
        <v>337</v>
      </c>
      <c r="F338" s="95" t="n">
        <f aca="false">calc!$AU$338</f>
        <v>383340.937431322</v>
      </c>
      <c r="G338" s="24" t="n">
        <f aca="false">calc!$AG$338</f>
        <v>1.63379038627447</v>
      </c>
      <c r="H338" s="96" t="n">
        <f aca="false">calc!$AH$338</f>
        <v>0.72885490520105</v>
      </c>
      <c r="I338" s="97" t="n">
        <f aca="false">H338*15</f>
        <v>10.9328235780158</v>
      </c>
    </row>
    <row r="339" customFormat="false" ht="17" hidden="false" customHeight="true" outlineLevel="0" collapsed="false">
      <c r="C339" s="21" t="n">
        <f aca="false">calc!$D$339</f>
        <v>4</v>
      </c>
      <c r="D339" s="21" t="n">
        <f aca="false">calc!$E$339</f>
        <v>12</v>
      </c>
      <c r="E339" s="21" t="n">
        <f aca="false">calc!$K$339</f>
        <v>338</v>
      </c>
      <c r="F339" s="95" t="n">
        <f aca="false">calc!$AU$339</f>
        <v>387080.750625282</v>
      </c>
      <c r="G339" s="24" t="n">
        <f aca="false">calc!$AG$339</f>
        <v>7.58618722982434</v>
      </c>
      <c r="H339" s="96" t="n">
        <f aca="false">calc!$AH$339</f>
        <v>1.50865591614901</v>
      </c>
      <c r="I339" s="97" t="n">
        <f aca="false">H339*15</f>
        <v>22.6298387422351</v>
      </c>
    </row>
    <row r="340" customFormat="false" ht="17" hidden="false" customHeight="true" outlineLevel="0" collapsed="false">
      <c r="C340" s="21" t="n">
        <f aca="false">calc!$D$340</f>
        <v>5</v>
      </c>
      <c r="D340" s="21" t="n">
        <f aca="false">calc!$E$340</f>
        <v>12</v>
      </c>
      <c r="E340" s="21" t="n">
        <f aca="false">calc!$K$340</f>
        <v>339</v>
      </c>
      <c r="F340" s="95" t="n">
        <f aca="false">calc!$AU$340</f>
        <v>390620.40701203</v>
      </c>
      <c r="G340" s="24" t="n">
        <f aca="false">calc!$AG$340</f>
        <v>13.1282006707557</v>
      </c>
      <c r="H340" s="96" t="n">
        <f aca="false">calc!$AH$340</f>
        <v>2.29604271030304</v>
      </c>
      <c r="I340" s="97" t="n">
        <f aca="false">H340*15</f>
        <v>34.4406406545456</v>
      </c>
    </row>
    <row r="341" customFormat="false" ht="17" hidden="false" customHeight="true" outlineLevel="0" collapsed="false">
      <c r="C341" s="21" t="n">
        <f aca="false">calc!$D$341</f>
        <v>6</v>
      </c>
      <c r="D341" s="21" t="n">
        <f aca="false">calc!$E$341</f>
        <v>12</v>
      </c>
      <c r="E341" s="21" t="n">
        <f aca="false">calc!$K$341</f>
        <v>340</v>
      </c>
      <c r="F341" s="95" t="n">
        <f aca="false">calc!$AU$341</f>
        <v>393938.036388963</v>
      </c>
      <c r="G341" s="24" t="n">
        <f aca="false">calc!$AG$341</f>
        <v>18.0366850992698</v>
      </c>
      <c r="H341" s="96" t="n">
        <f aca="false">calc!$AH$341</f>
        <v>3.10467420709764</v>
      </c>
      <c r="I341" s="97" t="n">
        <f aca="false">H341*15</f>
        <v>46.5701131064646</v>
      </c>
    </row>
    <row r="342" customFormat="false" ht="17" hidden="false" customHeight="true" outlineLevel="0" collapsed="false">
      <c r="C342" s="21" t="n">
        <f aca="false">calc!$D$342</f>
        <v>7</v>
      </c>
      <c r="D342" s="21" t="n">
        <f aca="false">calc!$E$342</f>
        <v>12</v>
      </c>
      <c r="E342" s="21" t="n">
        <f aca="false">calc!$K$342</f>
        <v>341</v>
      </c>
      <c r="F342" s="95" t="n">
        <f aca="false">calc!$AU$342</f>
        <v>397010.078468076</v>
      </c>
      <c r="G342" s="24" t="n">
        <f aca="false">calc!$AG$342</f>
        <v>22.0956349085915</v>
      </c>
      <c r="H342" s="96" t="n">
        <f aca="false">calc!$AH$342</f>
        <v>3.94289684634497</v>
      </c>
      <c r="I342" s="97" t="n">
        <f aca="false">H342*15</f>
        <v>59.1434526951746</v>
      </c>
    </row>
    <row r="343" customFormat="false" ht="17" hidden="false" customHeight="true" outlineLevel="0" collapsed="false">
      <c r="C343" s="21" t="n">
        <f aca="false">calc!$D$343</f>
        <v>8</v>
      </c>
      <c r="D343" s="21" t="n">
        <f aca="false">calc!$E$343</f>
        <v>12</v>
      </c>
      <c r="E343" s="21" t="n">
        <f aca="false">calc!$K$343</f>
        <v>342</v>
      </c>
      <c r="F343" s="95" t="n">
        <f aca="false">calc!$AU$343</f>
        <v>399790.421542885</v>
      </c>
      <c r="G343" s="24" t="n">
        <f aca="false">calc!$AG$343</f>
        <v>25.1072499596803</v>
      </c>
      <c r="H343" s="96" t="n">
        <f aca="false">calc!$AH$343</f>
        <v>4.81180947988653</v>
      </c>
      <c r="I343" s="97" t="n">
        <f aca="false">H343*15</f>
        <v>72.177142198298</v>
      </c>
    </row>
    <row r="344" customFormat="false" ht="17" hidden="false" customHeight="true" outlineLevel="0" collapsed="false">
      <c r="C344" s="21" t="n">
        <f aca="false">calc!$D$344</f>
        <v>9</v>
      </c>
      <c r="D344" s="21" t="n">
        <f aca="false">calc!$E$344</f>
        <v>12</v>
      </c>
      <c r="E344" s="21" t="n">
        <f aca="false">calc!$K$344</f>
        <v>343</v>
      </c>
      <c r="F344" s="95" t="n">
        <f aca="false">calc!$AU$344</f>
        <v>402198.170875287</v>
      </c>
      <c r="G344" s="24" t="n">
        <f aca="false">calc!$AG$344</f>
        <v>26.9151329988745</v>
      </c>
      <c r="H344" s="96" t="n">
        <f aca="false">calc!$AH$344</f>
        <v>5.70401919327995</v>
      </c>
      <c r="I344" s="97" t="n">
        <f aca="false">H344*15</f>
        <v>85.5602878991993</v>
      </c>
    </row>
    <row r="345" customFormat="false" ht="17" hidden="false" customHeight="true" outlineLevel="0" collapsed="false">
      <c r="C345" s="21" t="n">
        <f aca="false">calc!$D$345</f>
        <v>10</v>
      </c>
      <c r="D345" s="21" t="n">
        <f aca="false">calc!$E$345</f>
        <v>12</v>
      </c>
      <c r="E345" s="21" t="n">
        <f aca="false">calc!$K$345</f>
        <v>344</v>
      </c>
      <c r="F345" s="95" t="n">
        <f aca="false">calc!$AU$345</f>
        <v>404115.310764317</v>
      </c>
      <c r="G345" s="24" t="n">
        <f aca="false">calc!$AG$345</f>
        <v>27.4318665190328</v>
      </c>
      <c r="H345" s="96" t="n">
        <f aca="false">calc!$AH$345</f>
        <v>6.60462834404364</v>
      </c>
      <c r="I345" s="97" t="n">
        <f aca="false">H345*15</f>
        <v>99.0694251606546</v>
      </c>
    </row>
    <row r="346" customFormat="false" ht="17" hidden="false" customHeight="true" outlineLevel="0" collapsed="false">
      <c r="C346" s="21" t="n">
        <f aca="false">calc!$D$346</f>
        <v>11</v>
      </c>
      <c r="D346" s="21" t="n">
        <f aca="false">calc!$E$346</f>
        <v>12</v>
      </c>
      <c r="E346" s="21" t="n">
        <f aca="false">calc!$K$346</f>
        <v>345</v>
      </c>
      <c r="F346" s="95" t="n">
        <f aca="false">calc!$AU$346</f>
        <v>405393.736933335</v>
      </c>
      <c r="G346" s="24" t="n">
        <f aca="false">calc!$AG$346</f>
        <v>26.6572823171354</v>
      </c>
      <c r="H346" s="96" t="n">
        <f aca="false">calc!$AH$346</f>
        <v>7.49523385606625</v>
      </c>
      <c r="I346" s="97" t="n">
        <f aca="false">H346*15</f>
        <v>112.428507840994</v>
      </c>
    </row>
    <row r="347" customFormat="false" ht="17" hidden="false" customHeight="true" outlineLevel="0" collapsed="false">
      <c r="C347" s="21" t="n">
        <f aca="false">calc!$D$347</f>
        <v>12</v>
      </c>
      <c r="D347" s="21" t="n">
        <f aca="false">calc!$E$347</f>
        <v>12</v>
      </c>
      <c r="E347" s="21" t="n">
        <f aca="false">calc!$K$347</f>
        <v>346</v>
      </c>
      <c r="F347" s="95" t="n">
        <f aca="false">calc!$AU$347</f>
        <v>405870.177537327</v>
      </c>
      <c r="G347" s="24" t="n">
        <f aca="false">calc!$AG$347</f>
        <v>24.675528149075</v>
      </c>
      <c r="H347" s="96" t="n">
        <f aca="false">calc!$AH$347</f>
        <v>8.35959550684735</v>
      </c>
      <c r="I347" s="97" t="n">
        <f aca="false">H347*15</f>
        <v>125.39393260271</v>
      </c>
    </row>
    <row r="348" customFormat="false" ht="17" hidden="false" customHeight="true" outlineLevel="0" collapsed="false">
      <c r="C348" s="21" t="n">
        <f aca="false">calc!$D$348</f>
        <v>13</v>
      </c>
      <c r="D348" s="21" t="n">
        <f aca="false">calc!$E$348</f>
        <v>12</v>
      </c>
      <c r="E348" s="21" t="n">
        <f aca="false">calc!$K$348</f>
        <v>347</v>
      </c>
      <c r="F348" s="95" t="n">
        <f aca="false">calc!$AU$348</f>
        <v>405387.115147851</v>
      </c>
      <c r="G348" s="24" t="n">
        <f aca="false">calc!$AG$348</f>
        <v>21.6309758547284</v>
      </c>
      <c r="H348" s="96" t="n">
        <f aca="false">calc!$AH$348</f>
        <v>9.18818315639974</v>
      </c>
      <c r="I348" s="97" t="n">
        <f aca="false">H348*15</f>
        <v>137.822747345996</v>
      </c>
    </row>
    <row r="349" customFormat="false" ht="17" hidden="false" customHeight="true" outlineLevel="0" collapsed="false">
      <c r="C349" s="21" t="n">
        <f aca="false">calc!$D$349</f>
        <v>14</v>
      </c>
      <c r="D349" s="21" t="n">
        <f aca="false">calc!$E$349</f>
        <v>12</v>
      </c>
      <c r="E349" s="21" t="n">
        <f aca="false">calc!$K$349</f>
        <v>348</v>
      </c>
      <c r="F349" s="95" t="n">
        <f aca="false">calc!$AU$349</f>
        <v>403817.409613788</v>
      </c>
      <c r="G349" s="24" t="n">
        <f aca="false">calc!$AG$349</f>
        <v>17.6954043293841</v>
      </c>
      <c r="H349" s="96" t="n">
        <f aca="false">calc!$AH$349</f>
        <v>9.97980409669283</v>
      </c>
      <c r="I349" s="97" t="n">
        <f aca="false">H349*15</f>
        <v>149.697061450392</v>
      </c>
    </row>
    <row r="350" customFormat="false" ht="17" hidden="false" customHeight="true" outlineLevel="0" collapsed="false">
      <c r="C350" s="21" t="n">
        <f aca="false">calc!$D$350</f>
        <v>15</v>
      </c>
      <c r="D350" s="21" t="n">
        <f aca="false">calc!$E$350</f>
        <v>12</v>
      </c>
      <c r="E350" s="21" t="n">
        <f aca="false">calc!$K$350</f>
        <v>349</v>
      </c>
      <c r="F350" s="95" t="n">
        <f aca="false">calc!$AU$350</f>
        <v>401089.834195519</v>
      </c>
      <c r="G350" s="24" t="n">
        <f aca="false">calc!$AG$350</f>
        <v>13.0411623505742</v>
      </c>
      <c r="H350" s="96" t="n">
        <f aca="false">calc!$AH$350</f>
        <v>10.7407129460041</v>
      </c>
      <c r="I350" s="97" t="n">
        <f aca="false">H350*15</f>
        <v>161.110694190061</v>
      </c>
    </row>
    <row r="351" customFormat="false" ht="17" hidden="false" customHeight="true" outlineLevel="0" collapsed="false">
      <c r="C351" s="21" t="n">
        <f aca="false">calc!$D$351</f>
        <v>16</v>
      </c>
      <c r="D351" s="21" t="n">
        <f aca="false">calc!$E$351</f>
        <v>12</v>
      </c>
      <c r="E351" s="21" t="n">
        <f aca="false">calc!$K$351</f>
        <v>350</v>
      </c>
      <c r="F351" s="95" t="n">
        <f aca="false">calc!$AU$351</f>
        <v>397212.669267472</v>
      </c>
      <c r="G351" s="24" t="n">
        <f aca="false">calc!$AG$351</f>
        <v>7.82871746134361</v>
      </c>
      <c r="H351" s="96" t="n">
        <f aca="false">calc!$AH$351</f>
        <v>11.482734728071</v>
      </c>
      <c r="I351" s="97" t="n">
        <f aca="false">H351*15</f>
        <v>172.241020921065</v>
      </c>
    </row>
    <row r="352" customFormat="false" ht="17" hidden="false" customHeight="true" outlineLevel="0" collapsed="false">
      <c r="C352" s="21" t="n">
        <f aca="false">calc!$D$352</f>
        <v>17</v>
      </c>
      <c r="D352" s="21" t="n">
        <f aca="false">calc!$E$352</f>
        <v>12</v>
      </c>
      <c r="E352" s="21" t="n">
        <f aca="false">calc!$K$352</f>
        <v>351</v>
      </c>
      <c r="F352" s="95" t="n">
        <f aca="false">calc!$AU$352</f>
        <v>392293.043006218</v>
      </c>
      <c r="G352" s="24" t="n">
        <f aca="false">calc!$AG$352</f>
        <v>2.21023060658292</v>
      </c>
      <c r="H352" s="96" t="n">
        <f aca="false">calc!$AH$352</f>
        <v>12.2215970327238</v>
      </c>
      <c r="I352" s="97" t="n">
        <f aca="false">H352*15</f>
        <v>183.323955490857</v>
      </c>
    </row>
    <row r="353" customFormat="false" ht="17" hidden="false" customHeight="true" outlineLevel="0" collapsed="false">
      <c r="C353" s="21" t="n">
        <f aca="false">calc!$D$353</f>
        <v>18</v>
      </c>
      <c r="D353" s="21" t="n">
        <f aca="false">calc!$E$353</f>
        <v>12</v>
      </c>
      <c r="E353" s="21" t="n">
        <f aca="false">calc!$K$353</f>
        <v>352</v>
      </c>
      <c r="F353" s="95" t="n">
        <f aca="false">calc!$AU$353</f>
        <v>386550.034043541</v>
      </c>
      <c r="G353" s="24" t="n">
        <f aca="false">calc!$AG$353</f>
        <v>-3.65263302284104</v>
      </c>
      <c r="H353" s="96" t="n">
        <f aca="false">calc!$AH$353</f>
        <v>12.975845419956</v>
      </c>
      <c r="I353" s="97" t="n">
        <f aca="false">H353*15</f>
        <v>194.637681299339</v>
      </c>
    </row>
    <row r="354" customFormat="false" ht="17" hidden="false" customHeight="true" outlineLevel="0" collapsed="false">
      <c r="C354" s="21" t="n">
        <f aca="false">calc!$D$354</f>
        <v>19</v>
      </c>
      <c r="D354" s="21" t="n">
        <f aca="false">calc!$E$354</f>
        <v>12</v>
      </c>
      <c r="E354" s="21" t="n">
        <f aca="false">calc!$K$354</f>
        <v>353</v>
      </c>
      <c r="F354" s="95" t="n">
        <f aca="false">calc!$AU$354</f>
        <v>380318.432734099</v>
      </c>
      <c r="G354" s="24" t="n">
        <f aca="false">calc!$AG$354</f>
        <v>-9.56003887929608</v>
      </c>
      <c r="H354" s="96" t="n">
        <f aca="false">calc!$AH$354</f>
        <v>13.766057199118</v>
      </c>
      <c r="I354" s="97" t="n">
        <f aca="false">H354*15</f>
        <v>206.49085798677</v>
      </c>
    </row>
    <row r="355" customFormat="false" ht="17" hidden="false" customHeight="true" outlineLevel="0" collapsed="false">
      <c r="C355" s="21" t="n">
        <f aca="false">calc!$D$355</f>
        <v>20</v>
      </c>
      <c r="D355" s="21" t="n">
        <f aca="false">calc!$E$355</f>
        <v>12</v>
      </c>
      <c r="E355" s="21" t="n">
        <f aca="false">calc!$K$355</f>
        <v>354</v>
      </c>
      <c r="F355" s="95" t="n">
        <f aca="false">calc!$AU$355</f>
        <v>374037.628451314</v>
      </c>
      <c r="G355" s="24" t="n">
        <f aca="false">calc!$AG$355</f>
        <v>-15.2404965761453</v>
      </c>
      <c r="H355" s="96" t="n">
        <f aca="false">calc!$AH$355</f>
        <v>14.6135494228267</v>
      </c>
      <c r="I355" s="97" t="n">
        <f aca="false">H355*15</f>
        <v>219.203241342401</v>
      </c>
    </row>
    <row r="356" customFormat="false" ht="17" hidden="false" customHeight="true" outlineLevel="0" collapsed="false">
      <c r="C356" s="21" t="n">
        <f aca="false">calc!$D$356</f>
        <v>21</v>
      </c>
      <c r="D356" s="21" t="n">
        <f aca="false">calc!$E$356</f>
        <v>12</v>
      </c>
      <c r="E356" s="21" t="n">
        <f aca="false">calc!$K$356</f>
        <v>355</v>
      </c>
      <c r="F356" s="95" t="n">
        <f aca="false">calc!$AU$356</f>
        <v>368218.839065436</v>
      </c>
      <c r="G356" s="24" t="n">
        <f aca="false">calc!$AG$356</f>
        <v>-20.3247261479926</v>
      </c>
      <c r="H356" s="96" t="n">
        <f aca="false">calc!$AH$356</f>
        <v>15.5372194934137</v>
      </c>
      <c r="I356" s="97" t="n">
        <f aca="false">H356*15</f>
        <v>233.058292401206</v>
      </c>
    </row>
    <row r="357" customFormat="false" ht="17" hidden="false" customHeight="true" outlineLevel="0" collapsed="false">
      <c r="C357" s="21" t="n">
        <f aca="false">calc!$D$357</f>
        <v>22</v>
      </c>
      <c r="D357" s="21" t="n">
        <f aca="false">calc!$E$357</f>
        <v>12</v>
      </c>
      <c r="E357" s="21" t="n">
        <f aca="false">calc!$K$357</f>
        <v>356</v>
      </c>
      <c r="F357" s="95" t="n">
        <f aca="false">calc!$AU$357</f>
        <v>363387.251718177</v>
      </c>
      <c r="G357" s="24" t="n">
        <f aca="false">calc!$AG$357</f>
        <v>-24.3496471712268</v>
      </c>
      <c r="H357" s="96" t="n">
        <f aca="false">calc!$AH$357</f>
        <v>16.5469666575343</v>
      </c>
      <c r="I357" s="97" t="n">
        <f aca="false">H357*15</f>
        <v>248.204499863014</v>
      </c>
    </row>
    <row r="358" customFormat="false" ht="17" hidden="false" customHeight="true" outlineLevel="0" collapsed="false">
      <c r="C358" s="21" t="n">
        <f aca="false">calc!$D$358</f>
        <v>23</v>
      </c>
      <c r="D358" s="21" t="n">
        <f aca="false">calc!$E$358</f>
        <v>12</v>
      </c>
      <c r="E358" s="21" t="n">
        <f aca="false">calc!$K$358</f>
        <v>357</v>
      </c>
      <c r="F358" s="95" t="n">
        <f aca="false">calc!$AU$358</f>
        <v>360004.705897288</v>
      </c>
      <c r="G358" s="24" t="n">
        <f aca="false">calc!$AG$358</f>
        <v>-26.8236845022114</v>
      </c>
      <c r="H358" s="96" t="n">
        <f aca="false">calc!$AH$358</f>
        <v>17.63413085093</v>
      </c>
      <c r="I358" s="97" t="n">
        <f aca="false">H358*15</f>
        <v>264.51196276395</v>
      </c>
    </row>
    <row r="359" customFormat="false" ht="17" hidden="false" customHeight="true" outlineLevel="0" collapsed="false">
      <c r="C359" s="21" t="n">
        <f aca="false">calc!$D$359</f>
        <v>24</v>
      </c>
      <c r="D359" s="21" t="n">
        <f aca="false">calc!$E$359</f>
        <v>12</v>
      </c>
      <c r="E359" s="21" t="n">
        <f aca="false">calc!$K$359</f>
        <v>358</v>
      </c>
      <c r="F359" s="95" t="n">
        <f aca="false">calc!$AU$359</f>
        <v>358389.817180072</v>
      </c>
      <c r="G359" s="24" t="n">
        <f aca="false">calc!$AG$359</f>
        <v>-27.3655473850113</v>
      </c>
      <c r="H359" s="96" t="n">
        <f aca="false">calc!$AH$359</f>
        <v>18.7653229559587</v>
      </c>
      <c r="I359" s="97" t="n">
        <f aca="false">H359*15</f>
        <v>281.479844339381</v>
      </c>
    </row>
    <row r="360" customFormat="false" ht="17" hidden="false" customHeight="true" outlineLevel="0" collapsed="false">
      <c r="C360" s="21" t="n">
        <f aca="false">calc!$D$360</f>
        <v>25</v>
      </c>
      <c r="D360" s="21" t="n">
        <f aca="false">calc!$E$360</f>
        <v>12</v>
      </c>
      <c r="E360" s="21" t="n">
        <f aca="false">calc!$K$360</f>
        <v>359</v>
      </c>
      <c r="F360" s="95" t="n">
        <f aca="false">calc!$AU$360</f>
        <v>358659.094250252</v>
      </c>
      <c r="G360" s="24" t="n">
        <f aca="false">calc!$AG$360</f>
        <v>-25.8587919657058</v>
      </c>
      <c r="H360" s="96" t="n">
        <f aca="false">calc!$AH$360</f>
        <v>19.8901068623097</v>
      </c>
      <c r="I360" s="97" t="n">
        <f aca="false">H360*15</f>
        <v>298.351602934645</v>
      </c>
    </row>
    <row r="361" customFormat="false" ht="17" hidden="false" customHeight="true" outlineLevel="0" collapsed="false">
      <c r="C361" s="21" t="n">
        <f aca="false">calc!$D$361</f>
        <v>26</v>
      </c>
      <c r="D361" s="21" t="n">
        <f aca="false">calc!$E$361</f>
        <v>12</v>
      </c>
      <c r="E361" s="21" t="n">
        <f aca="false">calc!$K$361</f>
        <v>360</v>
      </c>
      <c r="F361" s="95" t="n">
        <f aca="false">calc!$AU$361</f>
        <v>360709.090511379</v>
      </c>
      <c r="G361" s="24" t="n">
        <f aca="false">calc!$AG$361</f>
        <v>-22.5059005497206</v>
      </c>
      <c r="H361" s="96" t="n">
        <f aca="false">calc!$AH$361</f>
        <v>20.9622513054443</v>
      </c>
      <c r="I361" s="97" t="n">
        <f aca="false">H361*15</f>
        <v>314.433769581664</v>
      </c>
    </row>
    <row r="362" customFormat="false" ht="17" hidden="false" customHeight="true" outlineLevel="0" collapsed="false">
      <c r="C362" s="21" t="n">
        <f aca="false">calc!$D$362</f>
        <v>27</v>
      </c>
      <c r="D362" s="21" t="n">
        <f aca="false">calc!$E$362</f>
        <v>12</v>
      </c>
      <c r="E362" s="21" t="n">
        <f aca="false">calc!$K$362</f>
        <v>361</v>
      </c>
      <c r="F362" s="95" t="n">
        <f aca="false">calc!$AU$362</f>
        <v>364246.130228026</v>
      </c>
      <c r="G362" s="24" t="n">
        <f aca="false">calc!$AG$362</f>
        <v>-17.7349287318933</v>
      </c>
      <c r="H362" s="96" t="n">
        <f aca="false">calc!$AH$362</f>
        <v>21.9573893670249</v>
      </c>
      <c r="I362" s="97" t="n">
        <f aca="false">H362*15</f>
        <v>329.360840505373</v>
      </c>
    </row>
    <row r="363" customFormat="false" ht="17" hidden="false" customHeight="true" outlineLevel="0" collapsed="false">
      <c r="C363" s="21" t="n">
        <f aca="false">calc!$D$363</f>
        <v>28</v>
      </c>
      <c r="D363" s="21" t="n">
        <f aca="false">calc!$E$363</f>
        <v>12</v>
      </c>
      <c r="E363" s="21" t="n">
        <f aca="false">calc!$K$363</f>
        <v>362</v>
      </c>
      <c r="F363" s="95" t="n">
        <f aca="false">calc!$AU$363</f>
        <v>368853.141750174</v>
      </c>
      <c r="G363" s="24" t="n">
        <f aca="false">calc!$AG$363</f>
        <v>-12.0442563290155</v>
      </c>
      <c r="H363" s="96" t="n">
        <f aca="false">calc!$AH$363</f>
        <v>22.8747262604363</v>
      </c>
      <c r="I363" s="97" t="n">
        <f aca="false">H363*15</f>
        <v>343.120893906545</v>
      </c>
    </row>
    <row r="364" customFormat="false" ht="17" hidden="false" customHeight="true" outlineLevel="0" collapsed="false">
      <c r="C364" s="21" t="n">
        <f aca="false">calc!$D$364</f>
        <v>29</v>
      </c>
      <c r="D364" s="21" t="n">
        <f aca="false">calc!$E$364</f>
        <v>12</v>
      </c>
      <c r="E364" s="21" t="n">
        <f aca="false">calc!$K$364</f>
        <v>363</v>
      </c>
      <c r="F364" s="95" t="n">
        <f aca="false">calc!$AU$364</f>
        <v>374071.341133801</v>
      </c>
      <c r="G364" s="24" t="n">
        <f aca="false">calc!$AG$364</f>
        <v>-5.88920625858056</v>
      </c>
      <c r="H364" s="96" t="n">
        <f aca="false">calc!$AH$364</f>
        <v>23.7284158924186</v>
      </c>
      <c r="I364" s="97" t="n">
        <f aca="false">H364*15</f>
        <v>355.926238386279</v>
      </c>
    </row>
    <row r="365" customFormat="false" ht="17" hidden="false" customHeight="true" outlineLevel="0" collapsed="false">
      <c r="C365" s="21" t="n">
        <f aca="false">calc!$D$365</f>
        <v>30</v>
      </c>
      <c r="D365" s="21" t="n">
        <f aca="false">calc!$E$365</f>
        <v>12</v>
      </c>
      <c r="E365" s="21" t="n">
        <f aca="false">calc!$K$365</f>
        <v>364</v>
      </c>
      <c r="F365" s="95" t="n">
        <f aca="false">calc!$AU$365</f>
        <v>379473.221501205</v>
      </c>
      <c r="G365" s="24" t="n">
        <f aca="false">calc!$AG$365</f>
        <v>0.361191068917114</v>
      </c>
      <c r="H365" s="96" t="n">
        <f aca="false">calc!$AH$365</f>
        <v>0.538700875144032</v>
      </c>
      <c r="I365" s="97" t="n">
        <f aca="false">H365*15</f>
        <v>8.08051312716048</v>
      </c>
    </row>
    <row r="366" customFormat="false" ht="17" hidden="false" customHeight="true" outlineLevel="0" collapsed="false">
      <c r="C366" s="21" t="n">
        <f aca="false">calc!$D$366</f>
        <v>31</v>
      </c>
      <c r="D366" s="21" t="n">
        <f aca="false">calc!$E$366</f>
        <v>12</v>
      </c>
      <c r="E366" s="21" t="n">
        <f aca="false">calc!$K$366</f>
        <v>365</v>
      </c>
      <c r="F366" s="95" t="n">
        <f aca="false">calc!$AU$366</f>
        <v>384711.370474459</v>
      </c>
      <c r="G366" s="24" t="n">
        <f aca="false">calc!$AG$366</f>
        <v>6.41982353841544</v>
      </c>
      <c r="H366" s="96" t="n">
        <f aca="false">calc!$AH$366</f>
        <v>1.3266346611626</v>
      </c>
      <c r="I366" s="97" t="n">
        <f aca="false">H366*15</f>
        <v>19.899519917439</v>
      </c>
    </row>
    <row r="367" customFormat="false" ht="17" hidden="false" customHeight="true" outlineLevel="0" collapsed="false">
      <c r="C367" s="21" t="n">
        <f aca="false">calc!$D$367</f>
        <v>1</v>
      </c>
      <c r="D367" s="21" t="n">
        <f aca="false">calc!$E$367</f>
        <v>13</v>
      </c>
      <c r="E367" s="21" t="n">
        <f aca="false">calc!$K$367</f>
        <v>366</v>
      </c>
      <c r="F367" s="95" t="n">
        <f aca="false">calc!$AU$367</f>
        <v>389539.157000857</v>
      </c>
      <c r="G367" s="24" t="n">
        <f aca="false">calc!$AG$367</f>
        <v>12.0569688119646</v>
      </c>
      <c r="H367" s="96" t="n">
        <f aca="false">calc!$AH$367</f>
        <v>2.11158535758404</v>
      </c>
      <c r="I367" s="97" t="n">
        <f aca="false">H367*15</f>
        <v>31.6737803637606</v>
      </c>
    </row>
    <row r="369" customFormat="false" ht="17" hidden="false" customHeight="true" outlineLevel="0" collapsed="false">
      <c r="G369" s="24" t="n">
        <f aca="false">calc!$AG$369</f>
        <v>-27.5046410896826</v>
      </c>
    </row>
    <row r="370" customFormat="false" ht="17" hidden="false" customHeight="true" outlineLevel="0" collapsed="false">
      <c r="G370" s="24" t="n">
        <f aca="false">calc!$AG$370</f>
        <v>27.4318665190328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&amp;C&amp;10&amp;Kffffff&amp;A</oddHeader>
    <oddFooter>&amp;C&amp;10&amp;KffffffSeite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3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625" defaultRowHeight="17.75" zeroHeight="false" outlineLevelRow="0" outlineLevelCol="0"/>
  <cols>
    <col collapsed="false" customWidth="true" hidden="false" outlineLevel="0" max="1" min="1" style="91" width="8.57"/>
    <col collapsed="false" customWidth="true" hidden="false" outlineLevel="0" max="2" min="2" style="22" width="10.94"/>
    <col collapsed="false" customWidth="true" hidden="false" outlineLevel="0" max="3" min="3" style="21" width="7.11"/>
    <col collapsed="false" customWidth="true" hidden="false" outlineLevel="0" max="4" min="4" style="21" width="8.12"/>
    <col collapsed="false" customWidth="true" hidden="false" outlineLevel="0" max="5" min="5" style="22" width="6.32"/>
    <col collapsed="false" customWidth="true" hidden="false" outlineLevel="0" max="6" min="6" style="98" width="7.11"/>
    <col collapsed="false" customWidth="true" hidden="false" outlineLevel="0" max="7" min="7" style="99" width="7.11"/>
    <col collapsed="false" customWidth="true" hidden="false" outlineLevel="0" max="8" min="8" style="24" width="7.56"/>
    <col collapsed="false" customWidth="true" hidden="false" outlineLevel="0" max="9" min="9" style="22" width="8.57"/>
    <col collapsed="false" customWidth="true" hidden="false" outlineLevel="0" max="10" min="10" style="22" width="8.91"/>
    <col collapsed="false" customWidth="true" hidden="false" outlineLevel="0" max="11" min="11" style="22" width="13.31"/>
    <col collapsed="false" customWidth="true" hidden="false" outlineLevel="0" max="12" min="12" style="22" width="12.4"/>
    <col collapsed="false" customWidth="true" hidden="false" outlineLevel="0" max="13" min="13" style="24" width="9.7"/>
    <col collapsed="false" customWidth="true" hidden="false" outlineLevel="0" max="14" min="14" style="22" width="6.88"/>
    <col collapsed="false" customWidth="true" hidden="false" outlineLevel="0" max="15" min="15" style="22" width="8.01"/>
    <col collapsed="false" customWidth="false" hidden="false" outlineLevel="0" max="64" min="16" style="22" width="9.59"/>
  </cols>
  <sheetData>
    <row r="1" customFormat="false" ht="17.75" hidden="false" customHeight="true" outlineLevel="0" collapsed="false">
      <c r="A1" s="40" t="str">
        <f aca="false">calc!$C$1</f>
        <v>UT</v>
      </c>
      <c r="B1" s="40" t="s">
        <v>64</v>
      </c>
      <c r="C1" s="11" t="str">
        <f aca="false">calc!$D$1</f>
        <v>Date</v>
      </c>
      <c r="D1" s="11" t="str">
        <f aca="false">calc!$E$1</f>
        <v>Month</v>
      </c>
      <c r="E1" s="11" t="s">
        <v>21</v>
      </c>
      <c r="F1" s="100" t="str">
        <f aca="false">calc!$X$1</f>
        <v>Lm</v>
      </c>
      <c r="G1" s="101" t="s">
        <v>34</v>
      </c>
      <c r="H1" s="71" t="s">
        <v>36</v>
      </c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customFormat="false" ht="17.75" hidden="false" customHeight="true" outlineLevel="0" collapsed="false">
      <c r="A2" s="82" t="n">
        <f aca="false">calc!$C$2</f>
        <v>0</v>
      </c>
      <c r="B2" s="79" t="n">
        <f aca="false">input!$D$2</f>
        <v>2022</v>
      </c>
      <c r="C2" s="21" t="n">
        <f aca="false">calc!$D$2</f>
        <v>1</v>
      </c>
      <c r="D2" s="21" t="n">
        <f aca="false">calc!$E$2</f>
        <v>1</v>
      </c>
      <c r="E2" s="21" t="n">
        <v>1</v>
      </c>
      <c r="F2" s="98" t="n">
        <f aca="false">calc!$X$2</f>
        <v>255.503500790361</v>
      </c>
      <c r="H2" s="24" t="n">
        <f aca="false">calc!$Z$2</f>
        <v>-1.28827268204613</v>
      </c>
      <c r="M2" s="24" t="str">
        <f aca="false">IF(OR(K2="",L2=""),"",K2+L2)</f>
        <v/>
      </c>
    </row>
    <row r="3" customFormat="false" ht="17.75" hidden="false" customHeight="true" outlineLevel="0" collapsed="false">
      <c r="B3" s="21"/>
      <c r="C3" s="21" t="n">
        <f aca="false">calc!$D$3</f>
        <v>2</v>
      </c>
      <c r="D3" s="21" t="n">
        <f aca="false">calc!$E$3</f>
        <v>1</v>
      </c>
      <c r="E3" s="21" t="n">
        <v>2</v>
      </c>
      <c r="F3" s="98" t="n">
        <f aca="false">calc!$X$3</f>
        <v>270.630280687013</v>
      </c>
      <c r="G3" s="99" t="n">
        <f aca="false">IF(ABS(F3-F2)&lt;100,F3,"")</f>
        <v>270.630280687013</v>
      </c>
      <c r="H3" s="24" t="n">
        <f aca="false">calc!$Z$3</f>
        <v>-2.55508761166881</v>
      </c>
      <c r="M3" s="24" t="str">
        <f aca="false">IF(OR(K3="",L3=""),"",K3+L3)</f>
        <v/>
      </c>
    </row>
    <row r="4" customFormat="false" ht="17.75" hidden="false" customHeight="true" outlineLevel="0" collapsed="false">
      <c r="B4" s="9" t="str">
        <f aca="false">calc!$A$8</f>
        <v>common year</v>
      </c>
      <c r="C4" s="21" t="n">
        <f aca="false">calc!$D$4</f>
        <v>3</v>
      </c>
      <c r="D4" s="21" t="n">
        <f aca="false">calc!$E$4</f>
        <v>1</v>
      </c>
      <c r="E4" s="21" t="n">
        <v>3</v>
      </c>
      <c r="F4" s="98" t="n">
        <f aca="false">calc!$X$4</f>
        <v>285.774196974343</v>
      </c>
      <c r="G4" s="99" t="n">
        <f aca="false">IF(ABS(F4-F3)&lt;100,F4,"")</f>
        <v>285.774196974343</v>
      </c>
      <c r="H4" s="24" t="n">
        <f aca="false">calc!$Z$4</f>
        <v>-3.64005114031867</v>
      </c>
      <c r="M4" s="24" t="str">
        <f aca="false">IF(OR(K4="",L4=""),"",K4+L4)</f>
        <v/>
      </c>
    </row>
    <row r="5" customFormat="false" ht="17.75" hidden="false" customHeight="true" outlineLevel="0" collapsed="false">
      <c r="C5" s="21" t="n">
        <f aca="false">calc!$D$5</f>
        <v>4</v>
      </c>
      <c r="D5" s="21" t="n">
        <f aca="false">calc!$E$5</f>
        <v>1</v>
      </c>
      <c r="E5" s="21" t="n">
        <v>4</v>
      </c>
      <c r="F5" s="98" t="n">
        <f aca="false">calc!$X$5</f>
        <v>300.777616038617</v>
      </c>
      <c r="G5" s="99" t="n">
        <f aca="false">IF(ABS(F5-F4)&lt;100,F5,"")</f>
        <v>300.777616038617</v>
      </c>
      <c r="H5" s="24" t="n">
        <f aca="false">calc!$Z$5</f>
        <v>-4.46078950765045</v>
      </c>
      <c r="M5" s="24" t="str">
        <f aca="false">IF(OR(K5="",L5=""),"",K5+L5)</f>
        <v/>
      </c>
    </row>
    <row r="6" customFormat="false" ht="17.75" hidden="false" customHeight="true" outlineLevel="0" collapsed="false">
      <c r="A6" s="87" t="s">
        <v>70</v>
      </c>
      <c r="C6" s="21" t="n">
        <f aca="false">calc!$D$6</f>
        <v>5</v>
      </c>
      <c r="D6" s="21" t="n">
        <f aca="false">calc!$E$6</f>
        <v>1</v>
      </c>
      <c r="E6" s="21" t="n">
        <v>5</v>
      </c>
      <c r="F6" s="98" t="n">
        <f aca="false">calc!$X$6</f>
        <v>315.495865837717</v>
      </c>
      <c r="G6" s="99" t="n">
        <f aca="false">IF(ABS(F6-F5)&lt;100,F6,"")</f>
        <v>315.495865837717</v>
      </c>
      <c r="H6" s="24" t="n">
        <f aca="false">calc!$Z$6</f>
        <v>-4.96752173632252</v>
      </c>
      <c r="M6" s="24" t="str">
        <f aca="false">IF(OR(K6="",L6=""),"",K6+L6)</f>
        <v/>
      </c>
    </row>
    <row r="7" customFormat="false" ht="17.75" hidden="false" customHeight="true" outlineLevel="0" collapsed="false">
      <c r="A7" s="88" t="s">
        <v>71</v>
      </c>
      <c r="C7" s="21" t="n">
        <f aca="false">calc!$D$7</f>
        <v>6</v>
      </c>
      <c r="D7" s="21" t="n">
        <f aca="false">calc!$E$7</f>
        <v>1</v>
      </c>
      <c r="E7" s="21" t="n">
        <v>6</v>
      </c>
      <c r="F7" s="98" t="n">
        <f aca="false">calc!$X$7</f>
        <v>329.816304134304</v>
      </c>
      <c r="G7" s="99" t="n">
        <f aca="false">IF(ABS(F7-F6)&lt;100,F7,"")</f>
        <v>329.816304134304</v>
      </c>
      <c r="H7" s="24" t="n">
        <f aca="false">calc!$Z$7</f>
        <v>-5.14672355850508</v>
      </c>
      <c r="M7" s="24" t="str">
        <f aca="false">IF(OR(K7="",L7=""),"",K7+L7)</f>
        <v/>
      </c>
    </row>
    <row r="8" customFormat="false" ht="17.75" hidden="false" customHeight="true" outlineLevel="0" collapsed="false">
      <c r="C8" s="21" t="n">
        <f aca="false">calc!$D$8</f>
        <v>7</v>
      </c>
      <c r="D8" s="21" t="n">
        <f aca="false">calc!$E$8</f>
        <v>1</v>
      </c>
      <c r="E8" s="21" t="n">
        <v>7</v>
      </c>
      <c r="F8" s="98" t="n">
        <f aca="false">calc!$X$8</f>
        <v>343.670941532728</v>
      </c>
      <c r="G8" s="99" t="n">
        <f aca="false">IF(ABS(F8-F7)&lt;100,F8,"")</f>
        <v>343.670941532728</v>
      </c>
      <c r="H8" s="24" t="n">
        <f aca="false">calc!$Z$8</f>
        <v>-5.0159370933491</v>
      </c>
      <c r="M8" s="24" t="str">
        <f aca="false">IF(OR(K8="",L8=""),"",K8+L8)</f>
        <v/>
      </c>
    </row>
    <row r="9" customFormat="false" ht="17.75" hidden="false" customHeight="true" outlineLevel="0" collapsed="false">
      <c r="C9" s="21" t="n">
        <f aca="false">calc!$D$9</f>
        <v>8</v>
      </c>
      <c r="D9" s="21" t="n">
        <f aca="false">calc!$E$9</f>
        <v>1</v>
      </c>
      <c r="E9" s="21" t="n">
        <v>8</v>
      </c>
      <c r="F9" s="98" t="n">
        <f aca="false">calc!$X$9</f>
        <v>357.040560046742</v>
      </c>
      <c r="G9" s="99" t="n">
        <f aca="false">IF(ABS(F9-F8)&lt;100,F9,"")</f>
        <v>357.040560046742</v>
      </c>
      <c r="H9" s="24" t="n">
        <f aca="false">calc!$Z$9</f>
        <v>-4.61334322548896</v>
      </c>
      <c r="M9" s="24" t="str">
        <f aca="false">IF(OR(K9="",L9=""),"",K9+L9)</f>
        <v/>
      </c>
    </row>
    <row r="10" customFormat="false" ht="17.75" hidden="false" customHeight="true" outlineLevel="0" collapsed="false">
      <c r="C10" s="21" t="n">
        <f aca="false">calc!$D$10</f>
        <v>9</v>
      </c>
      <c r="D10" s="21" t="n">
        <f aca="false">calc!$E$10</f>
        <v>1</v>
      </c>
      <c r="E10" s="21" t="n">
        <v>9</v>
      </c>
      <c r="F10" s="98" t="n">
        <f aca="false">calc!$X$10</f>
        <v>9.95057808894471</v>
      </c>
      <c r="G10" s="99" t="str">
        <f aca="false">IF(ABS(F10-F9)&lt;100,F10,"")</f>
        <v/>
      </c>
      <c r="H10" s="24" t="n">
        <f aca="false">calc!$Z$10</f>
        <v>-3.98682328667054</v>
      </c>
      <c r="M10" s="24" t="str">
        <f aca="false">IF(OR(K10="",L10=""),"",K10+L10)</f>
        <v/>
      </c>
    </row>
    <row r="11" customFormat="false" ht="17.75" hidden="false" customHeight="true" outlineLevel="0" collapsed="false">
      <c r="C11" s="21" t="n">
        <f aca="false">calc!$D$11</f>
        <v>10</v>
      </c>
      <c r="D11" s="21" t="n">
        <f aca="false">calc!$E$11</f>
        <v>1</v>
      </c>
      <c r="E11" s="21" t="n">
        <v>10</v>
      </c>
      <c r="F11" s="98" t="n">
        <f aca="false">calc!$X$11</f>
        <v>22.4608825404082</v>
      </c>
      <c r="G11" s="99" t="n">
        <f aca="false">IF(ABS(F11-F10)&lt;100,F11,"")</f>
        <v>22.4608825404082</v>
      </c>
      <c r="H11" s="24" t="n">
        <f aca="false">calc!$Z$11</f>
        <v>-3.18590773425046</v>
      </c>
      <c r="M11" s="24" t="str">
        <f aca="false">IF(OR(K11="",L11=""),"",K11+L11)</f>
        <v/>
      </c>
    </row>
    <row r="12" customFormat="false" ht="17.75" hidden="false" customHeight="true" outlineLevel="0" collapsed="false">
      <c r="C12" s="21" t="n">
        <f aca="false">calc!$D$12</f>
        <v>11</v>
      </c>
      <c r="D12" s="21" t="n">
        <f aca="false">calc!$E$12</f>
        <v>1</v>
      </c>
      <c r="E12" s="21" t="n">
        <v>11</v>
      </c>
      <c r="F12" s="98" t="n">
        <f aca="false">calc!$X$12</f>
        <v>34.6528908100701</v>
      </c>
      <c r="G12" s="99" t="n">
        <f aca="false">IF(ABS(F12-F11)&lt;100,F12,"")</f>
        <v>34.6528908100701</v>
      </c>
      <c r="H12" s="24" t="n">
        <f aca="false">calc!$Z$12</f>
        <v>-2.25770665972653</v>
      </c>
      <c r="M12" s="24" t="str">
        <f aca="false">IF(OR(K12="",L12=""),"",K12+L12)</f>
        <v/>
      </c>
    </row>
    <row r="13" customFormat="false" ht="17.75" hidden="false" customHeight="true" outlineLevel="0" collapsed="false">
      <c r="C13" s="21" t="n">
        <f aca="false">calc!$D$13</f>
        <v>12</v>
      </c>
      <c r="D13" s="21" t="n">
        <f aca="false">calc!$E$13</f>
        <v>1</v>
      </c>
      <c r="E13" s="21" t="n">
        <v>12</v>
      </c>
      <c r="F13" s="98" t="n">
        <f aca="false">calc!$X$13</f>
        <v>46.6170136719149</v>
      </c>
      <c r="G13" s="99" t="n">
        <f aca="false">IF(ABS(F13-F12)&lt;100,F13,"")</f>
        <v>46.6170136719149</v>
      </c>
      <c r="H13" s="24" t="n">
        <f aca="false">calc!$Z$13</f>
        <v>-1.2460832063634</v>
      </c>
      <c r="M13" s="24" t="str">
        <f aca="false">IF(OR(K13="",L13=""),"",K13+L13)</f>
        <v/>
      </c>
    </row>
    <row r="14" customFormat="false" ht="17.75" hidden="false" customHeight="true" outlineLevel="0" collapsed="false">
      <c r="C14" s="21" t="n">
        <f aca="false">calc!$D$14</f>
        <v>13</v>
      </c>
      <c r="D14" s="21" t="n">
        <f aca="false">calc!$E$14</f>
        <v>1</v>
      </c>
      <c r="E14" s="21" t="n">
        <v>13</v>
      </c>
      <c r="F14" s="98" t="n">
        <f aca="false">calc!$X$14</f>
        <v>58.4426830689097</v>
      </c>
      <c r="G14" s="99" t="n">
        <f aca="false">IF(ABS(F14-F13)&lt;100,F14,"")</f>
        <v>58.4426830689097</v>
      </c>
      <c r="H14" s="24" t="n">
        <f aca="false">calc!$Z$14</f>
        <v>-0.192567319054914</v>
      </c>
      <c r="M14" s="24" t="str">
        <f aca="false">IF(OR(K14="",L14=""),"",K14+L14)</f>
        <v/>
      </c>
    </row>
    <row r="15" customFormat="false" ht="17.75" hidden="false" customHeight="true" outlineLevel="0" collapsed="false">
      <c r="C15" s="21" t="n">
        <f aca="false">calc!$D$15</f>
        <v>14</v>
      </c>
      <c r="D15" s="21" t="n">
        <f aca="false">calc!$E$15</f>
        <v>1</v>
      </c>
      <c r="E15" s="21" t="n">
        <v>14</v>
      </c>
      <c r="F15" s="98" t="n">
        <f aca="false">calc!$X$15</f>
        <v>70.2117128915543</v>
      </c>
      <c r="G15" s="99" t="n">
        <f aca="false">IF(ABS(F15-F14)&lt;100,F15,"")</f>
        <v>70.2117128915543</v>
      </c>
      <c r="H15" s="24" t="n">
        <f aca="false">calc!$Z$15</f>
        <v>0.862355725967563</v>
      </c>
      <c r="M15" s="24" t="str">
        <f aca="false">IF(OR(K15="",L15=""),"",K15+L15)</f>
        <v/>
      </c>
    </row>
    <row r="16" customFormat="false" ht="17.75" hidden="false" customHeight="true" outlineLevel="0" collapsed="false">
      <c r="C16" s="21" t="n">
        <f aca="false">calc!$D$16</f>
        <v>15</v>
      </c>
      <c r="D16" s="21" t="n">
        <f aca="false">calc!$E$16</f>
        <v>1</v>
      </c>
      <c r="E16" s="21" t="n">
        <v>15</v>
      </c>
      <c r="F16" s="98" t="n">
        <f aca="false">calc!$X$16</f>
        <v>81.9945707121534</v>
      </c>
      <c r="G16" s="99" t="n">
        <f aca="false">IF(ABS(F16-F15)&lt;100,F16,"")</f>
        <v>81.9945707121534</v>
      </c>
      <c r="H16" s="24" t="n">
        <f aca="false">calc!$Z$16</f>
        <v>1.87839746641635</v>
      </c>
      <c r="M16" s="24" t="str">
        <f aca="false">IF(OR(K16="",L16=""),"",K16+L16)</f>
        <v/>
      </c>
    </row>
    <row r="17" customFormat="false" ht="17.75" hidden="false" customHeight="true" outlineLevel="0" collapsed="false">
      <c r="C17" s="21" t="n">
        <f aca="false">calc!$D$17</f>
        <v>16</v>
      </c>
      <c r="D17" s="21" t="n">
        <f aca="false">calc!$E$17</f>
        <v>1</v>
      </c>
      <c r="E17" s="21" t="n">
        <v>16</v>
      </c>
      <c r="F17" s="98" t="n">
        <f aca="false">calc!$X$17</f>
        <v>93.8485741940223</v>
      </c>
      <c r="G17" s="99" t="n">
        <f aca="false">IF(ABS(F17-F16)&lt;100,F17,"")</f>
        <v>93.8485741940223</v>
      </c>
      <c r="H17" s="24" t="n">
        <f aca="false">calc!$Z$17</f>
        <v>2.81534585577153</v>
      </c>
      <c r="M17" s="24" t="str">
        <f aca="false">IF(OR(K17="",L17=""),"",K17+L17)</f>
        <v/>
      </c>
    </row>
    <row r="18" customFormat="false" ht="17.75" hidden="false" customHeight="true" outlineLevel="0" collapsed="false">
      <c r="C18" s="21" t="n">
        <f aca="false">calc!$D$18</f>
        <v>17</v>
      </c>
      <c r="D18" s="21" t="n">
        <f aca="false">calc!$E$18</f>
        <v>1</v>
      </c>
      <c r="E18" s="21" t="n">
        <v>17</v>
      </c>
      <c r="F18" s="98" t="n">
        <f aca="false">calc!$X$18</f>
        <v>105.81717307145</v>
      </c>
      <c r="G18" s="99" t="n">
        <f aca="false">IF(ABS(F18-F17)&lt;100,F18,"")</f>
        <v>105.81717307145</v>
      </c>
      <c r="H18" s="24" t="n">
        <f aca="false">calc!$Z$18</f>
        <v>3.63366432594681</v>
      </c>
      <c r="M18" s="24" t="str">
        <f aca="false">IF(OR(K18="",L18=""),"",K18+L18)</f>
        <v/>
      </c>
    </row>
    <row r="19" customFormat="false" ht="17.75" hidden="false" customHeight="true" outlineLevel="0" collapsed="false">
      <c r="C19" s="21" t="n">
        <f aca="false">calc!$D$19</f>
        <v>18</v>
      </c>
      <c r="D19" s="21" t="n">
        <f aca="false">calc!$E$19</f>
        <v>1</v>
      </c>
      <c r="E19" s="21" t="n">
        <v>18</v>
      </c>
      <c r="F19" s="98" t="n">
        <f aca="false">calc!$X$19</f>
        <v>117.930081347734</v>
      </c>
      <c r="G19" s="99" t="n">
        <f aca="false">IF(ABS(F19-F18)&lt;100,F19,"")</f>
        <v>117.930081347734</v>
      </c>
      <c r="H19" s="24" t="n">
        <f aca="false">calc!$Z$19</f>
        <v>4.29572213224921</v>
      </c>
      <c r="M19" s="24" t="str">
        <f aca="false">IF(OR(K19="",L19=""),"",K19+L19)</f>
        <v/>
      </c>
    </row>
    <row r="20" customFormat="false" ht="17.75" hidden="false" customHeight="true" outlineLevel="0" collapsed="false">
      <c r="C20" s="21" t="n">
        <f aca="false">calc!$D$20</f>
        <v>19</v>
      </c>
      <c r="D20" s="21" t="n">
        <f aca="false">calc!$E$20</f>
        <v>1</v>
      </c>
      <c r="E20" s="21" t="n">
        <v>19</v>
      </c>
      <c r="F20" s="98" t="n">
        <f aca="false">calc!$X$20</f>
        <v>130.204631226459</v>
      </c>
      <c r="G20" s="99" t="n">
        <f aca="false">IF(ABS(F20-F19)&lt;100,F20,"")</f>
        <v>130.204631226459</v>
      </c>
      <c r="H20" s="24" t="n">
        <f aca="false">calc!$Z$20</f>
        <v>4.76755123613836</v>
      </c>
      <c r="M20" s="24" t="str">
        <f aca="false">IF(OR(K20="",L20=""),"",K20+L20)</f>
        <v/>
      </c>
    </row>
    <row r="21" customFormat="false" ht="17.75" hidden="false" customHeight="true" outlineLevel="0" collapsed="false">
      <c r="C21" s="21" t="n">
        <f aca="false">calc!$D$21</f>
        <v>20</v>
      </c>
      <c r="D21" s="21" t="n">
        <f aca="false">calc!$E$21</f>
        <v>1</v>
      </c>
      <c r="E21" s="21" t="n">
        <v>20</v>
      </c>
      <c r="F21" s="98" t="n">
        <f aca="false">calc!$X$21</f>
        <v>142.648903313803</v>
      </c>
      <c r="G21" s="99" t="n">
        <f aca="false">IF(ABS(F21-F20)&lt;100,F21,"")</f>
        <v>142.648903313803</v>
      </c>
      <c r="H21" s="24" t="n">
        <f aca="false">calc!$Z$21</f>
        <v>5.02094376415562</v>
      </c>
      <c r="M21" s="24" t="str">
        <f aca="false">IF(OR(K21="",L21=""),"",K21+L21)</f>
        <v/>
      </c>
    </row>
    <row r="22" customFormat="false" ht="17.75" hidden="false" customHeight="true" outlineLevel="0" collapsed="false">
      <c r="C22" s="21" t="n">
        <f aca="false">calc!$D$22</f>
        <v>21</v>
      </c>
      <c r="D22" s="21" t="n">
        <f aca="false">calc!$E$22</f>
        <v>1</v>
      </c>
      <c r="E22" s="21" t="n">
        <v>21</v>
      </c>
      <c r="F22" s="98" t="n">
        <f aca="false">calc!$X$22</f>
        <v>155.266754702329</v>
      </c>
      <c r="G22" s="99" t="n">
        <f aca="false">IF(ABS(F22-F21)&lt;100,F22,"")</f>
        <v>155.266754702329</v>
      </c>
      <c r="H22" s="24" t="n">
        <f aca="false">calc!$Z$22</f>
        <v>5.03557015809638</v>
      </c>
      <c r="M22" s="24" t="str">
        <f aca="false">IF(OR(K22="",L22=""),"",K22+L22)</f>
        <v/>
      </c>
    </row>
    <row r="23" customFormat="false" ht="17.75" hidden="false" customHeight="true" outlineLevel="0" collapsed="false">
      <c r="C23" s="21" t="n">
        <f aca="false">calc!$D$23</f>
        <v>22</v>
      </c>
      <c r="D23" s="21" t="n">
        <f aca="false">calc!$E$23</f>
        <v>1</v>
      </c>
      <c r="E23" s="21" t="n">
        <v>22</v>
      </c>
      <c r="F23" s="98" t="n">
        <f aca="false">calc!$X$23</f>
        <v>168.063960275462</v>
      </c>
      <c r="G23" s="99" t="n">
        <f aca="false">IF(ABS(F23-F22)&lt;100,F23,"")</f>
        <v>168.063960275462</v>
      </c>
      <c r="H23" s="24" t="n">
        <f aca="false">calc!$Z$23</f>
        <v>4.80075589054025</v>
      </c>
      <c r="M23" s="24" t="str">
        <f aca="false">IF(OR(K23="",L23=""),"",K23+L23)</f>
        <v/>
      </c>
    </row>
    <row r="24" customFormat="false" ht="17.75" hidden="false" customHeight="true" outlineLevel="0" collapsed="false">
      <c r="C24" s="21" t="n">
        <f aca="false">calc!$D$24</f>
        <v>23</v>
      </c>
      <c r="D24" s="21" t="n">
        <f aca="false">calc!$E$24</f>
        <v>1</v>
      </c>
      <c r="E24" s="21" t="n">
        <v>23</v>
      </c>
      <c r="F24" s="98" t="n">
        <f aca="false">calc!$X$24</f>
        <v>181.05372668993</v>
      </c>
      <c r="G24" s="99" t="n">
        <f aca="false">IF(ABS(F24-F23)&lt;100,F24,"")</f>
        <v>181.05372668993</v>
      </c>
      <c r="H24" s="24" t="n">
        <f aca="false">calc!$Z$24</f>
        <v>4.3167393892847</v>
      </c>
      <c r="M24" s="24" t="str">
        <f aca="false">IF(OR(K24="",L24=""),"",K24+L24)</f>
        <v/>
      </c>
    </row>
    <row r="25" customFormat="false" ht="17.75" hidden="false" customHeight="true" outlineLevel="0" collapsed="false">
      <c r="C25" s="21" t="n">
        <f aca="false">calc!$D$25</f>
        <v>24</v>
      </c>
      <c r="D25" s="21" t="n">
        <f aca="false">calc!$E$25</f>
        <v>1</v>
      </c>
      <c r="E25" s="21" t="n">
        <v>24</v>
      </c>
      <c r="F25" s="98" t="n">
        <f aca="false">calc!$X$25</f>
        <v>194.259352137844</v>
      </c>
      <c r="G25" s="99" t="n">
        <f aca="false">IF(ABS(F25-F24)&lt;100,F25,"")</f>
        <v>194.259352137844</v>
      </c>
      <c r="H25" s="24" t="n">
        <f aca="false">calc!$Z$25</f>
        <v>3.59560176738277</v>
      </c>
      <c r="M25" s="24" t="str">
        <f aca="false">IF(OR(K25="",L25=""),"",K25+L25)</f>
        <v/>
      </c>
    </row>
    <row r="26" customFormat="false" ht="17.75" hidden="false" customHeight="true" outlineLevel="0" collapsed="false">
      <c r="C26" s="21" t="n">
        <f aca="false">calc!$D$26</f>
        <v>25</v>
      </c>
      <c r="D26" s="21" t="n">
        <f aca="false">calc!$E$26</f>
        <v>1</v>
      </c>
      <c r="E26" s="21" t="n">
        <v>25</v>
      </c>
      <c r="F26" s="98" t="n">
        <f aca="false">calc!$X$26</f>
        <v>207.712163594669</v>
      </c>
      <c r="G26" s="99" t="n">
        <f aca="false">IF(ABS(F26-F25)&lt;100,F26,"")</f>
        <v>207.712163594669</v>
      </c>
      <c r="H26" s="24" t="n">
        <f aca="false">calc!$Z$26</f>
        <v>2.66234207182277</v>
      </c>
      <c r="M26" s="24" t="str">
        <f aca="false">IF(OR(K26="",L26=""),"",K26+L26)</f>
        <v/>
      </c>
    </row>
    <row r="27" customFormat="false" ht="17.75" hidden="false" customHeight="true" outlineLevel="0" collapsed="false">
      <c r="C27" s="21" t="n">
        <f aca="false">calc!$D$27</f>
        <v>26</v>
      </c>
      <c r="D27" s="21" t="n">
        <f aca="false">calc!$E$27</f>
        <v>1</v>
      </c>
      <c r="E27" s="21" t="n">
        <v>26</v>
      </c>
      <c r="F27" s="98" t="n">
        <f aca="false">calc!$X$27</f>
        <v>221.444109410007</v>
      </c>
      <c r="G27" s="99" t="n">
        <f aca="false">IF(ABS(F27-F26)&lt;100,F27,"")</f>
        <v>221.444109410007</v>
      </c>
      <c r="H27" s="24" t="n">
        <f aca="false">calc!$Z$27</f>
        <v>1.5564300417324</v>
      </c>
      <c r="M27" s="24" t="str">
        <f aca="false">IF(OR(K27="",L27=""),"",K27+L27)</f>
        <v/>
      </c>
    </row>
    <row r="28" customFormat="false" ht="17.75" hidden="false" customHeight="true" outlineLevel="0" collapsed="false">
      <c r="C28" s="21" t="n">
        <f aca="false">calc!$D$28</f>
        <v>27</v>
      </c>
      <c r="D28" s="21" t="n">
        <f aca="false">calc!$E$28</f>
        <v>1</v>
      </c>
      <c r="E28" s="21" t="n">
        <v>27</v>
      </c>
      <c r="F28" s="98" t="n">
        <f aca="false">calc!$X$28</f>
        <v>235.476173848099</v>
      </c>
      <c r="G28" s="99" t="n">
        <f aca="false">IF(ABS(F28-F27)&lt;100,F28,"")</f>
        <v>235.476173848099</v>
      </c>
      <c r="H28" s="24" t="n">
        <f aca="false">calc!$Z$28</f>
        <v>0.33345898129333</v>
      </c>
      <c r="M28" s="24" t="str">
        <f aca="false">IF(OR(K28="",L28=""),"",K28+L28)</f>
        <v/>
      </c>
    </row>
    <row r="29" customFormat="false" ht="17.75" hidden="false" customHeight="true" outlineLevel="0" collapsed="false">
      <c r="C29" s="21" t="n">
        <f aca="false">calc!$D$29</f>
        <v>28</v>
      </c>
      <c r="D29" s="21" t="n">
        <f aca="false">calc!$E$29</f>
        <v>1</v>
      </c>
      <c r="E29" s="21" t="n">
        <v>28</v>
      </c>
      <c r="F29" s="98" t="n">
        <f aca="false">calc!$X$29</f>
        <v>249.80548831365</v>
      </c>
      <c r="G29" s="99" t="n">
        <f aca="false">IF(ABS(F29-F28)&lt;100,F29,"")</f>
        <v>249.80548831365</v>
      </c>
      <c r="H29" s="24" t="n">
        <f aca="false">calc!$Z$29</f>
        <v>-0.934486738205402</v>
      </c>
      <c r="M29" s="24" t="str">
        <f aca="false">IF(OR(K29="",L29=""),"",K29+L29)</f>
        <v/>
      </c>
    </row>
    <row r="30" customFormat="false" ht="17.75" hidden="false" customHeight="true" outlineLevel="0" collapsed="false">
      <c r="C30" s="21" t="n">
        <f aca="false">calc!$D$30</f>
        <v>29</v>
      </c>
      <c r="D30" s="21" t="n">
        <f aca="false">calc!$E$30</f>
        <v>1</v>
      </c>
      <c r="E30" s="21" t="n">
        <v>29</v>
      </c>
      <c r="F30" s="98" t="n">
        <f aca="false">calc!$X$30</f>
        <v>264.394974340055</v>
      </c>
      <c r="G30" s="99" t="n">
        <f aca="false">IF(ABS(F30-F29)&lt;100,F30,"")</f>
        <v>264.394974340055</v>
      </c>
      <c r="H30" s="24" t="n">
        <f aca="false">calc!$Z$30</f>
        <v>-2.161761717905</v>
      </c>
      <c r="M30" s="24" t="str">
        <f aca="false">IF(OR(K30="",L30=""),"",K30+L30)</f>
        <v/>
      </c>
    </row>
    <row r="31" customFormat="false" ht="17.75" hidden="false" customHeight="true" outlineLevel="0" collapsed="false">
      <c r="C31" s="21" t="n">
        <f aca="false">calc!$D$31</f>
        <v>30</v>
      </c>
      <c r="D31" s="21" t="n">
        <f aca="false">calc!$E$31</f>
        <v>1</v>
      </c>
      <c r="E31" s="21" t="n">
        <v>30</v>
      </c>
      <c r="F31" s="98" t="n">
        <f aca="false">calc!$X$31</f>
        <v>279.16912183491</v>
      </c>
      <c r="G31" s="99" t="n">
        <f aca="false">IF(ABS(F31-F30)&lt;100,F31,"")</f>
        <v>279.16912183491</v>
      </c>
      <c r="H31" s="24" t="n">
        <f aca="false">calc!$Z$31</f>
        <v>-3.25687455614138</v>
      </c>
      <c r="M31" s="24" t="str">
        <f aca="false">IF(OR(K31="",L31=""),"",K31+L31)</f>
        <v/>
      </c>
    </row>
    <row r="32" customFormat="false" ht="17.75" hidden="false" customHeight="true" outlineLevel="0" collapsed="false">
      <c r="C32" s="21" t="n">
        <f aca="false">calc!$D$32</f>
        <v>31</v>
      </c>
      <c r="D32" s="21" t="n">
        <f aca="false">calc!$E$32</f>
        <v>1</v>
      </c>
      <c r="E32" s="21" t="n">
        <v>31</v>
      </c>
      <c r="F32" s="98" t="n">
        <f aca="false">calc!$X$32</f>
        <v>294.018052514724</v>
      </c>
      <c r="G32" s="99" t="n">
        <f aca="false">IF(ABS(F32-F31)&lt;100,F32,"")</f>
        <v>294.018052514724</v>
      </c>
      <c r="H32" s="24" t="n">
        <f aca="false">calc!$Z$32</f>
        <v>-4.13454625863876</v>
      </c>
      <c r="M32" s="24" t="str">
        <f aca="false">IF(OR(K32="",L32=""),"",K32+L32)</f>
        <v/>
      </c>
    </row>
    <row r="33" customFormat="false" ht="17.75" hidden="false" customHeight="true" outlineLevel="0" collapsed="false">
      <c r="C33" s="21" t="n">
        <f aca="false">calc!$D$33</f>
        <v>1</v>
      </c>
      <c r="D33" s="21" t="n">
        <f aca="false">calc!$E$33</f>
        <v>2</v>
      </c>
      <c r="E33" s="21" t="n">
        <v>32</v>
      </c>
      <c r="F33" s="98" t="n">
        <f aca="false">calc!$X$33</f>
        <v>308.809761739947</v>
      </c>
      <c r="G33" s="99" t="n">
        <f aca="false">IF(ABS(F33-F32)&lt;100,F33,"")</f>
        <v>308.809761739947</v>
      </c>
      <c r="H33" s="24" t="n">
        <f aca="false">calc!$Z$33</f>
        <v>-4.72912656041569</v>
      </c>
      <c r="M33" s="24" t="str">
        <f aca="false">IF(OR(K33="",L33=""),"",K33+L33)</f>
        <v/>
      </c>
    </row>
    <row r="34" customFormat="false" ht="17.75" hidden="false" customHeight="true" outlineLevel="0" collapsed="false">
      <c r="C34" s="21" t="n">
        <f aca="false">calc!$D$34</f>
        <v>2</v>
      </c>
      <c r="D34" s="21" t="n">
        <f aca="false">calc!$E$34</f>
        <v>2</v>
      </c>
      <c r="E34" s="21" t="n">
        <v>33</v>
      </c>
      <c r="F34" s="98" t="n">
        <f aca="false">calc!$X$34</f>
        <v>323.408099850302</v>
      </c>
      <c r="G34" s="99" t="n">
        <f aca="false">IF(ABS(F34-F33)&lt;100,F34,"")</f>
        <v>323.408099850302</v>
      </c>
      <c r="H34" s="24" t="n">
        <f aca="false">calc!$Z$34</f>
        <v>-5.00485627785131</v>
      </c>
      <c r="M34" s="24" t="str">
        <f aca="false">IF(OR(K34="",L34=""),"",K34+L34)</f>
        <v/>
      </c>
    </row>
    <row r="35" customFormat="false" ht="17.75" hidden="false" customHeight="true" outlineLevel="0" collapsed="false">
      <c r="C35" s="21" t="n">
        <f aca="false">calc!$D$35</f>
        <v>3</v>
      </c>
      <c r="D35" s="21" t="n">
        <f aca="false">calc!$E$35</f>
        <v>2</v>
      </c>
      <c r="E35" s="21" t="n">
        <v>34</v>
      </c>
      <c r="F35" s="98" t="n">
        <f aca="false">calc!$X$35</f>
        <v>337.692420169375</v>
      </c>
      <c r="G35" s="99" t="n">
        <f aca="false">IF(ABS(F35-F34)&lt;100,F35,"")</f>
        <v>337.692420169375</v>
      </c>
      <c r="H35" s="24" t="n">
        <f aca="false">calc!$Z$35</f>
        <v>-4.95927455359909</v>
      </c>
      <c r="M35" s="24" t="str">
        <f aca="false">IF(OR(K35="",L35=""),"",K35+L35)</f>
        <v/>
      </c>
    </row>
    <row r="36" customFormat="false" ht="17.75" hidden="false" customHeight="true" outlineLevel="0" collapsed="false">
      <c r="C36" s="21" t="n">
        <f aca="false">calc!$D$36</f>
        <v>4</v>
      </c>
      <c r="D36" s="21" t="n">
        <f aca="false">calc!$E$36</f>
        <v>2</v>
      </c>
      <c r="E36" s="21" t="n">
        <v>35</v>
      </c>
      <c r="F36" s="98" t="n">
        <f aca="false">calc!$X$36</f>
        <v>351.574419848896</v>
      </c>
      <c r="G36" s="99" t="n">
        <f aca="false">IF(ABS(F36-F35)&lt;100,F36,"")</f>
        <v>351.574419848896</v>
      </c>
      <c r="H36" s="24" t="n">
        <f aca="false">calc!$Z$36</f>
        <v>-4.61897862891004</v>
      </c>
      <c r="M36" s="24" t="str">
        <f aca="false">IF(OR(K36="",L36=""),"",K36+L36)</f>
        <v/>
      </c>
    </row>
    <row r="37" customFormat="false" ht="17.75" hidden="false" customHeight="true" outlineLevel="0" collapsed="false">
      <c r="C37" s="21" t="n">
        <f aca="false">calc!$D$37</f>
        <v>5</v>
      </c>
      <c r="D37" s="21" t="n">
        <f aca="false">calc!$E$37</f>
        <v>2</v>
      </c>
      <c r="E37" s="21" t="n">
        <v>36</v>
      </c>
      <c r="F37" s="98" t="n">
        <f aca="false">calc!$X$37</f>
        <v>5.00863248137547</v>
      </c>
      <c r="G37" s="99" t="str">
        <f aca="false">IF(ABS(F37-F36)&lt;100,F37,"")</f>
        <v/>
      </c>
      <c r="H37" s="24" t="n">
        <f aca="false">calc!$Z$37</f>
        <v>-4.03015705481555</v>
      </c>
      <c r="M37" s="24" t="str">
        <f aca="false">IF(OR(K37="",L37=""),"",K37+L37)</f>
        <v/>
      </c>
    </row>
    <row r="38" customFormat="false" ht="17.75" hidden="false" customHeight="true" outlineLevel="0" collapsed="false">
      <c r="C38" s="21" t="n">
        <f aca="false">calc!$D$38</f>
        <v>6</v>
      </c>
      <c r="D38" s="21" t="n">
        <f aca="false">calc!$E$38</f>
        <v>2</v>
      </c>
      <c r="E38" s="21" t="n">
        <v>37</v>
      </c>
      <c r="F38" s="98" t="n">
        <f aca="false">calc!$X$38</f>
        <v>17.9949351008727</v>
      </c>
      <c r="G38" s="99" t="n">
        <f aca="false">IF(ABS(F38-F37)&lt;100,F38,"")</f>
        <v>17.9949351008727</v>
      </c>
      <c r="H38" s="24" t="n">
        <f aca="false">calc!$Z$38</f>
        <v>-3.24791965360097</v>
      </c>
      <c r="M38" s="24" t="str">
        <f aca="false">IF(OR(K38="",L38=""),"",K38+L38)</f>
        <v/>
      </c>
    </row>
    <row r="39" customFormat="false" ht="17.75" hidden="false" customHeight="true" outlineLevel="0" collapsed="false">
      <c r="C39" s="21" t="n">
        <f aca="false">calc!$D$39</f>
        <v>7</v>
      </c>
      <c r="D39" s="21" t="n">
        <f aca="false">calc!$E$39</f>
        <v>2</v>
      </c>
      <c r="E39" s="21" t="n">
        <v>38</v>
      </c>
      <c r="F39" s="98" t="n">
        <f aca="false">calc!$X$39</f>
        <v>30.5736262035725</v>
      </c>
      <c r="G39" s="99" t="n">
        <f aca="false">IF(ABS(F39-F38)&lt;100,F39,"")</f>
        <v>30.5736262035725</v>
      </c>
      <c r="H39" s="24" t="n">
        <f aca="false">calc!$Z$39</f>
        <v>-2.32785736293207</v>
      </c>
      <c r="M39" s="24" t="str">
        <f aca="false">IF(OR(K39="",L39=""),"",K39+L39)</f>
        <v/>
      </c>
    </row>
    <row r="40" customFormat="false" ht="17.75" hidden="false" customHeight="true" outlineLevel="0" collapsed="false">
      <c r="C40" s="21" t="n">
        <f aca="false">calc!$D$40</f>
        <v>8</v>
      </c>
      <c r="D40" s="21" t="n">
        <f aca="false">calc!$E$40</f>
        <v>2</v>
      </c>
      <c r="E40" s="21" t="n">
        <v>39</v>
      </c>
      <c r="F40" s="98" t="n">
        <f aca="false">calc!$X$40</f>
        <v>42.8153794595465</v>
      </c>
      <c r="G40" s="99" t="n">
        <f aca="false">IF(ABS(F40-F39)&lt;100,F40,"")</f>
        <v>42.8153794595465</v>
      </c>
      <c r="H40" s="24" t="n">
        <f aca="false">calc!$Z$40</f>
        <v>-1.32136714111679</v>
      </c>
      <c r="M40" s="24" t="str">
        <f aca="false">IF(OR(K40="",L40=""),"",K40+L40)</f>
        <v/>
      </c>
    </row>
    <row r="41" customFormat="false" ht="17.75" hidden="false" customHeight="true" outlineLevel="0" collapsed="false">
      <c r="C41" s="21" t="n">
        <f aca="false">calc!$D$41</f>
        <v>9</v>
      </c>
      <c r="D41" s="21" t="n">
        <f aca="false">calc!$E$41</f>
        <v>2</v>
      </c>
      <c r="E41" s="21" t="n">
        <v>40</v>
      </c>
      <c r="F41" s="98" t="n">
        <f aca="false">calc!$X$41</f>
        <v>54.8091617412626</v>
      </c>
      <c r="G41" s="99" t="n">
        <f aca="false">IF(ABS(F41-F40)&lt;100,F41,"")</f>
        <v>54.8091617412626</v>
      </c>
      <c r="H41" s="24" t="n">
        <f aca="false">calc!$Z$41</f>
        <v>-0.274418649905076</v>
      </c>
      <c r="M41" s="24" t="str">
        <f aca="false">IF(OR(K41="",L41=""),"",K41+L41)</f>
        <v/>
      </c>
    </row>
    <row r="42" customFormat="false" ht="17.75" hidden="false" customHeight="true" outlineLevel="0" collapsed="false">
      <c r="C42" s="21" t="n">
        <f aca="false">calc!$D$42</f>
        <v>10</v>
      </c>
      <c r="D42" s="21" t="n">
        <f aca="false">calc!$E$42</f>
        <v>2</v>
      </c>
      <c r="E42" s="21" t="n">
        <v>41</v>
      </c>
      <c r="F42" s="98" t="n">
        <f aca="false">calc!$X$42</f>
        <v>66.6509022176712</v>
      </c>
      <c r="G42" s="99" t="n">
        <f aca="false">IF(ABS(F42-F41)&lt;100,F42,"")</f>
        <v>66.6509022176712</v>
      </c>
      <c r="H42" s="24" t="n">
        <f aca="false">calc!$Z$42</f>
        <v>0.771551437736062</v>
      </c>
      <c r="M42" s="24" t="str">
        <f aca="false">IF(OR(K42="",L42=""),"",K42+L42)</f>
        <v/>
      </c>
    </row>
    <row r="43" customFormat="false" ht="17.75" hidden="false" customHeight="true" outlineLevel="0" collapsed="false">
      <c r="C43" s="21" t="n">
        <f aca="false">calc!$D$43</f>
        <v>11</v>
      </c>
      <c r="D43" s="21" t="n">
        <f aca="false">calc!$E$43</f>
        <v>2</v>
      </c>
      <c r="E43" s="21" t="n">
        <v>42</v>
      </c>
      <c r="F43" s="98" t="n">
        <f aca="false">calc!$X$43</f>
        <v>78.434601745859</v>
      </c>
      <c r="G43" s="99" t="n">
        <f aca="false">IF(ABS(F43-F42)&lt;100,F43,"")</f>
        <v>78.434601745859</v>
      </c>
      <c r="H43" s="24" t="n">
        <f aca="false">calc!$Z$43</f>
        <v>1.77799924483774</v>
      </c>
      <c r="M43" s="24" t="str">
        <f aca="false">IF(OR(K43="",L43=""),"",K43+L43)</f>
        <v/>
      </c>
    </row>
    <row r="44" customFormat="false" ht="17.75" hidden="false" customHeight="true" outlineLevel="0" collapsed="false">
      <c r="C44" s="21" t="n">
        <f aca="false">calc!$D$44</f>
        <v>12</v>
      </c>
      <c r="D44" s="21" t="n">
        <f aca="false">calc!$E$44</f>
        <v>2</v>
      </c>
      <c r="E44" s="21" t="n">
        <v>43</v>
      </c>
      <c r="F44" s="98" t="n">
        <f aca="false">calc!$X$44</f>
        <v>90.2462335014366</v>
      </c>
      <c r="G44" s="99" t="n">
        <f aca="false">IF(ABS(F44-F43)&lt;100,F44,"")</f>
        <v>90.2462335014366</v>
      </c>
      <c r="H44" s="24" t="n">
        <f aca="false">calc!$Z$44</f>
        <v>2.70782214166723</v>
      </c>
      <c r="M44" s="24" t="str">
        <f aca="false">IF(OR(K44="",L44=""),"",K44+L44)</f>
        <v/>
      </c>
    </row>
    <row r="45" customFormat="false" ht="17.75" hidden="false" customHeight="true" outlineLevel="0" collapsed="false">
      <c r="C45" s="21" t="n">
        <f aca="false">calc!$D$45</f>
        <v>13</v>
      </c>
      <c r="D45" s="21" t="n">
        <f aca="false">calc!$E$45</f>
        <v>2</v>
      </c>
      <c r="E45" s="21" t="n">
        <v>44</v>
      </c>
      <c r="F45" s="98" t="n">
        <f aca="false">calc!$X$45</f>
        <v>102.15978172886</v>
      </c>
      <c r="G45" s="99" t="n">
        <f aca="false">IF(ABS(F45-F44)&lt;100,F45,"")</f>
        <v>102.15978172886</v>
      </c>
      <c r="H45" s="24" t="n">
        <f aca="false">calc!$Z$45</f>
        <v>3.52453427934085</v>
      </c>
      <c r="M45" s="24" t="str">
        <f aca="false">IF(OR(K45="",L45=""),"",K45+L45)</f>
        <v/>
      </c>
    </row>
    <row r="46" customFormat="false" ht="17.75" hidden="false" customHeight="true" outlineLevel="0" collapsed="false">
      <c r="C46" s="21" t="n">
        <f aca="false">calc!$D$46</f>
        <v>14</v>
      </c>
      <c r="D46" s="21" t="n">
        <f aca="false">calc!$E$46</f>
        <v>2</v>
      </c>
      <c r="E46" s="21" t="n">
        <v>45</v>
      </c>
      <c r="F46" s="98" t="n">
        <f aca="false">calc!$X$46</f>
        <v>114.234452377191</v>
      </c>
      <c r="G46" s="99" t="n">
        <f aca="false">IF(ABS(F46-F45)&lt;100,F46,"")</f>
        <v>114.234452377191</v>
      </c>
      <c r="H46" s="24" t="n">
        <f aca="false">calc!$Z$46</f>
        <v>4.192234981245</v>
      </c>
      <c r="M46" s="24" t="str">
        <f aca="false">IF(OR(K46="",L46=""),"",K46+L46)</f>
        <v/>
      </c>
    </row>
    <row r="47" customFormat="false" ht="17.75" hidden="false" customHeight="true" outlineLevel="0" collapsed="false">
      <c r="C47" s="21" t="n">
        <f aca="false">calc!$D$47</f>
        <v>15</v>
      </c>
      <c r="D47" s="21" t="n">
        <f aca="false">calc!$E$47</f>
        <v>2</v>
      </c>
      <c r="E47" s="21" t="n">
        <v>46</v>
      </c>
      <c r="F47" s="98" t="n">
        <f aca="false">calc!$X$47</f>
        <v>126.512471552213</v>
      </c>
      <c r="G47" s="99" t="n">
        <f aca="false">IF(ABS(F47-F46)&lt;100,F47,"")</f>
        <v>126.512471552213</v>
      </c>
      <c r="H47" s="24" t="n">
        <f aca="false">calc!$Z$47</f>
        <v>4.6764961342727</v>
      </c>
      <c r="M47" s="24" t="str">
        <f aca="false">IF(OR(K47="",L47=""),"",K47+L47)</f>
        <v/>
      </c>
    </row>
    <row r="48" customFormat="false" ht="17.75" hidden="false" customHeight="true" outlineLevel="0" collapsed="false">
      <c r="C48" s="21" t="n">
        <f aca="false">calc!$D$48</f>
        <v>16</v>
      </c>
      <c r="D48" s="21" t="n">
        <f aca="false">calc!$E$48</f>
        <v>2</v>
      </c>
      <c r="E48" s="21" t="n">
        <v>47</v>
      </c>
      <c r="F48" s="98" t="n">
        <f aca="false">calc!$X$48</f>
        <v>139.017639913669</v>
      </c>
      <c r="G48" s="99" t="n">
        <f aca="false">IF(ABS(F48-F47)&lt;100,F48,"")</f>
        <v>139.017639913669</v>
      </c>
      <c r="H48" s="24" t="n">
        <f aca="false">calc!$Z$48</f>
        <v>4.94630578221456</v>
      </c>
      <c r="M48" s="24" t="str">
        <f aca="false">IF(OR(K48="",L48=""),"",K48+L48)</f>
        <v/>
      </c>
    </row>
    <row r="49" customFormat="false" ht="17.75" hidden="false" customHeight="true" outlineLevel="0" collapsed="false">
      <c r="C49" s="21" t="n">
        <f aca="false">calc!$D$49</f>
        <v>17</v>
      </c>
      <c r="D49" s="21" t="n">
        <f aca="false">calc!$E$49</f>
        <v>2</v>
      </c>
      <c r="E49" s="21" t="n">
        <v>48</v>
      </c>
      <c r="F49" s="98" t="n">
        <f aca="false">calc!$X$49</f>
        <v>151.755444130063</v>
      </c>
      <c r="G49" s="99" t="n">
        <f aca="false">IF(ABS(F49-F48)&lt;100,F49,"")</f>
        <v>151.755444130063</v>
      </c>
      <c r="H49" s="24" t="n">
        <f aca="false">calc!$Z$49</f>
        <v>4.97705482402466</v>
      </c>
      <c r="M49" s="24" t="str">
        <f aca="false">IF(OR(K49="",L49=""),"",K49+L49)</f>
        <v/>
      </c>
    </row>
    <row r="50" customFormat="false" ht="17.75" hidden="false" customHeight="true" outlineLevel="0" collapsed="false">
      <c r="C50" s="21" t="n">
        <f aca="false">calc!$D$50</f>
        <v>18</v>
      </c>
      <c r="D50" s="21" t="n">
        <f aca="false">calc!$E$50</f>
        <v>2</v>
      </c>
      <c r="E50" s="21" t="n">
        <v>49</v>
      </c>
      <c r="F50" s="98" t="n">
        <f aca="false">calc!$X$50</f>
        <v>164.715621206931</v>
      </c>
      <c r="G50" s="99" t="n">
        <f aca="false">IF(ABS(F50-F49)&lt;100,F50,"")</f>
        <v>164.715621206931</v>
      </c>
      <c r="H50" s="24" t="n">
        <f aca="false">calc!$Z$50</f>
        <v>4.75417828442065</v>
      </c>
      <c r="M50" s="24" t="str">
        <f aca="false">IF(OR(K50="",L50=""),"",K50+L50)</f>
        <v/>
      </c>
    </row>
    <row r="51" customFormat="false" ht="17.75" hidden="false" customHeight="true" outlineLevel="0" collapsed="false">
      <c r="C51" s="21" t="n">
        <f aca="false">calc!$D$51</f>
        <v>19</v>
      </c>
      <c r="D51" s="21" t="n">
        <f aca="false">calc!$E$51</f>
        <v>2</v>
      </c>
      <c r="E51" s="21" t="n">
        <v>50</v>
      </c>
      <c r="F51" s="98" t="n">
        <f aca="false">calc!$X$51</f>
        <v>177.877479382487</v>
      </c>
      <c r="G51" s="99" t="n">
        <f aca="false">IF(ABS(F51-F50)&lt;100,F51,"")</f>
        <v>177.877479382487</v>
      </c>
      <c r="H51" s="24" t="n">
        <f aca="false">calc!$Z$51</f>
        <v>4.27663392658032</v>
      </c>
      <c r="M51" s="24" t="str">
        <f aca="false">IF(OR(K51="",L51=""),"",K51+L51)</f>
        <v/>
      </c>
    </row>
    <row r="52" customFormat="false" ht="17.75" hidden="false" customHeight="true" outlineLevel="0" collapsed="false">
      <c r="C52" s="21" t="n">
        <f aca="false">calc!$D$52</f>
        <v>20</v>
      </c>
      <c r="D52" s="21" t="n">
        <f aca="false">calc!$E$52</f>
        <v>2</v>
      </c>
      <c r="E52" s="21" t="n">
        <v>51</v>
      </c>
      <c r="F52" s="98" t="n">
        <f aca="false">calc!$X$52</f>
        <v>191.217201339017</v>
      </c>
      <c r="G52" s="99" t="n">
        <f aca="false">IF(ABS(F52-F51)&lt;100,F52,"")</f>
        <v>191.217201339017</v>
      </c>
      <c r="H52" s="24" t="n">
        <f aca="false">calc!$Z$52</f>
        <v>3.55923650513807</v>
      </c>
      <c r="M52" s="24" t="str">
        <f aca="false">IF(OR(K52="",L52=""),"",K52+L52)</f>
        <v/>
      </c>
    </row>
    <row r="53" customFormat="false" ht="17.75" hidden="false" customHeight="true" outlineLevel="0" collapsed="false">
      <c r="C53" s="21" t="n">
        <f aca="false">calc!$D$53</f>
        <v>21</v>
      </c>
      <c r="D53" s="21" t="n">
        <f aca="false">calc!$E$53</f>
        <v>2</v>
      </c>
      <c r="E53" s="21" t="n">
        <v>52</v>
      </c>
      <c r="F53" s="98" t="n">
        <f aca="false">calc!$X$53</f>
        <v>204.715264398025</v>
      </c>
      <c r="G53" s="99" t="n">
        <f aca="false">IF(ABS(F53-F52)&lt;100,F53,"")</f>
        <v>204.715264398025</v>
      </c>
      <c r="H53" s="24" t="n">
        <f aca="false">calc!$Z$53</f>
        <v>2.6331808837861</v>
      </c>
      <c r="M53" s="24" t="str">
        <f aca="false">IF(OR(K53="",L53=""),"",K53+L53)</f>
        <v/>
      </c>
    </row>
    <row r="54" customFormat="false" ht="17.75" hidden="false" customHeight="true" outlineLevel="0" collapsed="false">
      <c r="C54" s="21" t="n">
        <f aca="false">calc!$D$54</f>
        <v>22</v>
      </c>
      <c r="D54" s="21" t="n">
        <f aca="false">calc!$E$54</f>
        <v>2</v>
      </c>
      <c r="E54" s="21" t="n">
        <v>53</v>
      </c>
      <c r="F54" s="98" t="n">
        <f aca="false">calc!$X$54</f>
        <v>218.361549363475</v>
      </c>
      <c r="G54" s="99" t="n">
        <f aca="false">IF(ABS(F54-F53)&lt;100,F54,"")</f>
        <v>218.361549363475</v>
      </c>
      <c r="H54" s="24" t="n">
        <f aca="false">calc!$Z$54</f>
        <v>1.54476320997531</v>
      </c>
      <c r="M54" s="24" t="str">
        <f aca="false">IF(OR(K54="",L54=""),"",K54+L54)</f>
        <v/>
      </c>
    </row>
    <row r="55" customFormat="false" ht="17.75" hidden="false" customHeight="true" outlineLevel="0" collapsed="false">
      <c r="C55" s="21" t="n">
        <f aca="false">calc!$D$55</f>
        <v>23</v>
      </c>
      <c r="D55" s="21" t="n">
        <f aca="false">calc!$E$55</f>
        <v>2</v>
      </c>
      <c r="E55" s="21" t="n">
        <v>54</v>
      </c>
      <c r="F55" s="98" t="n">
        <f aca="false">calc!$X$55</f>
        <v>232.156041615356</v>
      </c>
      <c r="G55" s="99" t="n">
        <f aca="false">IF(ABS(F55-F54)&lt;100,F55,"")</f>
        <v>232.156041615356</v>
      </c>
      <c r="H55" s="24" t="n">
        <f aca="false">calc!$Z$55</f>
        <v>0.352908355151548</v>
      </c>
      <c r="M55" s="24" t="str">
        <f aca="false">IF(OR(K55="",L55=""),"",K55+L55)</f>
        <v/>
      </c>
    </row>
    <row r="56" customFormat="false" ht="17.75" hidden="false" customHeight="true" outlineLevel="0" collapsed="false">
      <c r="C56" s="21" t="n">
        <f aca="false">calc!$D$56</f>
        <v>24</v>
      </c>
      <c r="D56" s="21" t="n">
        <f aca="false">calc!$E$56</f>
        <v>2</v>
      </c>
      <c r="E56" s="21" t="n">
        <v>55</v>
      </c>
      <c r="F56" s="98" t="n">
        <f aca="false">calc!$X$56</f>
        <v>246.104268979316</v>
      </c>
      <c r="G56" s="99" t="n">
        <f aca="false">IF(ABS(F56-F55)&lt;100,F56,"")</f>
        <v>246.104268979316</v>
      </c>
      <c r="H56" s="24" t="n">
        <f aca="false">calc!$Z$56</f>
        <v>-0.873811967910827</v>
      </c>
      <c r="M56" s="24" t="str">
        <f aca="false">IF(OR(K56="",L56=""),"",K56+L56)</f>
        <v/>
      </c>
    </row>
    <row r="57" customFormat="false" ht="17.75" hidden="false" customHeight="true" outlineLevel="0" collapsed="false">
      <c r="C57" s="21" t="n">
        <f aca="false">calc!$D$57</f>
        <v>25</v>
      </c>
      <c r="D57" s="21" t="n">
        <f aca="false">calc!$E$57</f>
        <v>2</v>
      </c>
      <c r="E57" s="21" t="n">
        <v>56</v>
      </c>
      <c r="F57" s="98" t="n">
        <f aca="false">calc!$X$57</f>
        <v>260.20839672392</v>
      </c>
      <c r="G57" s="99" t="n">
        <f aca="false">IF(ABS(F57-F56)&lt;100,F57,"")</f>
        <v>260.20839672392</v>
      </c>
      <c r="H57" s="24" t="n">
        <f aca="false">calc!$Z$57</f>
        <v>-2.06050754971766</v>
      </c>
      <c r="M57" s="24" t="str">
        <f aca="false">IF(OR(K57="",L57=""),"",K57+L57)</f>
        <v/>
      </c>
    </row>
    <row r="58" customFormat="false" ht="17.75" hidden="false" customHeight="true" outlineLevel="0" collapsed="false">
      <c r="C58" s="21" t="n">
        <f aca="false">calc!$D$58</f>
        <v>26</v>
      </c>
      <c r="D58" s="21" t="n">
        <f aca="false">calc!$E$58</f>
        <v>2</v>
      </c>
      <c r="E58" s="21" t="n">
        <v>57</v>
      </c>
      <c r="F58" s="98" t="n">
        <f aca="false">calc!$X$58</f>
        <v>274.456576490507</v>
      </c>
      <c r="G58" s="99" t="n">
        <f aca="false">IF(ABS(F58-F57)&lt;100,F58,"")</f>
        <v>274.456576490507</v>
      </c>
      <c r="H58" s="24" t="n">
        <f aca="false">calc!$Z$58</f>
        <v>-3.13018179338209</v>
      </c>
      <c r="M58" s="24" t="str">
        <f aca="false">IF(OR(K58="",L58=""),"",K58+L58)</f>
        <v/>
      </c>
    </row>
    <row r="59" customFormat="false" ht="17.75" hidden="false" customHeight="true" outlineLevel="0" collapsed="false">
      <c r="C59" s="21" t="n">
        <f aca="false">calc!$D$59</f>
        <v>27</v>
      </c>
      <c r="D59" s="21" t="n">
        <f aca="false">calc!$E$59</f>
        <v>2</v>
      </c>
      <c r="E59" s="21" t="n">
        <v>58</v>
      </c>
      <c r="F59" s="98" t="n">
        <f aca="false">calc!$X$59</f>
        <v>288.814071771756</v>
      </c>
      <c r="G59" s="99" t="n">
        <f aca="false">IF(ABS(F59-F58)&lt;100,F59,"")</f>
        <v>288.814071771756</v>
      </c>
      <c r="H59" s="24" t="n">
        <f aca="false">calc!$Z$59</f>
        <v>-4.00958584144821</v>
      </c>
      <c r="M59" s="24" t="str">
        <f aca="false">IF(OR(K59="",L59=""),"",K59+L59)</f>
        <v/>
      </c>
    </row>
    <row r="60" customFormat="false" ht="17.75" hidden="false" customHeight="true" outlineLevel="0" collapsed="false">
      <c r="C60" s="21" t="n">
        <f aca="false">calc!$D$60</f>
        <v>28</v>
      </c>
      <c r="D60" s="21" t="n">
        <f aca="false">calc!$E$60</f>
        <v>2</v>
      </c>
      <c r="E60" s="21" t="n">
        <v>59</v>
      </c>
      <c r="F60" s="98" t="n">
        <f aca="false">calc!$X$60</f>
        <v>303.21945088535</v>
      </c>
      <c r="G60" s="99" t="n">
        <f aca="false">IF(ABS(F60-F59)&lt;100,F60,"")</f>
        <v>303.21945088535</v>
      </c>
      <c r="H60" s="24" t="n">
        <f aca="false">calc!$Z$60</f>
        <v>-4.6367989689086</v>
      </c>
      <c r="M60" s="24" t="str">
        <f aca="false">IF(OR(K60="",L60=""),"",K60+L60)</f>
        <v/>
      </c>
    </row>
    <row r="61" customFormat="false" ht="17.75" hidden="false" customHeight="true" outlineLevel="0" collapsed="false">
      <c r="C61" s="21" t="n">
        <f aca="false">calc!$D$61</f>
        <v>1</v>
      </c>
      <c r="D61" s="21" t="n">
        <f aca="false">calc!$E$61</f>
        <v>3</v>
      </c>
      <c r="E61" s="21" t="n">
        <v>60</v>
      </c>
      <c r="F61" s="98" t="n">
        <f aca="false">calc!$X$61</f>
        <v>317.587759721713</v>
      </c>
      <c r="G61" s="99" t="n">
        <f aca="false">IF(ABS(F61-F60)&lt;100,F61,"")</f>
        <v>317.587759721713</v>
      </c>
      <c r="H61" s="24" t="n">
        <f aca="false">calc!$Z$61</f>
        <v>-4.96927751428154</v>
      </c>
      <c r="M61" s="24" t="str">
        <f aca="false">IF(OR(K61="",L61=""),"",K61+L61)</f>
        <v/>
      </c>
    </row>
    <row r="62" customFormat="false" ht="17.75" hidden="false" customHeight="true" outlineLevel="0" collapsed="false">
      <c r="C62" s="21" t="n">
        <f aca="false">calc!$D$62</f>
        <v>2</v>
      </c>
      <c r="D62" s="21" t="n">
        <f aca="false">calc!$E$62</f>
        <v>3</v>
      </c>
      <c r="E62" s="21" t="n">
        <v>61</v>
      </c>
      <c r="F62" s="98" t="n">
        <f aca="false">calc!$X$62</f>
        <v>331.820500604341</v>
      </c>
      <c r="G62" s="99" t="n">
        <f aca="false">IF(ABS(F62-F61)&lt;100,F62,"")</f>
        <v>331.820500604341</v>
      </c>
      <c r="H62" s="24" t="n">
        <f aca="false">calc!$Z$62</f>
        <v>-4.98997406485398</v>
      </c>
      <c r="M62" s="24" t="str">
        <f aca="false">IF(OR(K62="",L62=""),"",K62+L62)</f>
        <v/>
      </c>
    </row>
    <row r="63" customFormat="false" ht="17.75" hidden="false" customHeight="true" outlineLevel="0" collapsed="false">
      <c r="C63" s="21" t="n">
        <f aca="false">calc!$D$63</f>
        <v>3</v>
      </c>
      <c r="D63" s="21" t="n">
        <f aca="false">calc!$E$63</f>
        <v>3</v>
      </c>
      <c r="E63" s="21" t="n">
        <v>62</v>
      </c>
      <c r="F63" s="98" t="n">
        <f aca="false">calc!$X$63</f>
        <v>345.820162132696</v>
      </c>
      <c r="G63" s="99" t="n">
        <f aca="false">IF(ABS(F63-F62)&lt;100,F63,"")</f>
        <v>345.820162132696</v>
      </c>
      <c r="H63" s="24" t="n">
        <f aca="false">calc!$Z$63</f>
        <v>-4.7091532528662</v>
      </c>
      <c r="M63" s="24" t="str">
        <f aca="false">IF(OR(K63="",L63=""),"",K63+L63)</f>
        <v/>
      </c>
    </row>
    <row r="64" customFormat="false" ht="17.75" hidden="false" customHeight="true" outlineLevel="0" collapsed="false">
      <c r="C64" s="21" t="n">
        <f aca="false">calc!$D$64</f>
        <v>4</v>
      </c>
      <c r="D64" s="21" t="n">
        <f aca="false">calc!$E$64</f>
        <v>3</v>
      </c>
      <c r="E64" s="21" t="n">
        <v>63</v>
      </c>
      <c r="F64" s="98" t="n">
        <f aca="false">calc!$X$64</f>
        <v>359.505685564859</v>
      </c>
      <c r="G64" s="99" t="n">
        <f aca="false">IF(ABS(F64-F63)&lt;100,F64,"")</f>
        <v>359.505685564859</v>
      </c>
      <c r="H64" s="24" t="n">
        <f aca="false">calc!$Z$64</f>
        <v>-4.16098300614882</v>
      </c>
      <c r="M64" s="24" t="str">
        <f aca="false">IF(OR(K64="",L64=""),"",K64+L64)</f>
        <v/>
      </c>
    </row>
    <row r="65" customFormat="false" ht="17.75" hidden="false" customHeight="true" outlineLevel="0" collapsed="false">
      <c r="C65" s="21" t="n">
        <f aca="false">calc!$D$65</f>
        <v>5</v>
      </c>
      <c r="D65" s="21" t="n">
        <f aca="false">calc!$E$65</f>
        <v>3</v>
      </c>
      <c r="E65" s="21" t="n">
        <v>64</v>
      </c>
      <c r="F65" s="98" t="n">
        <f aca="false">calc!$X$65</f>
        <v>12.8250694775143</v>
      </c>
      <c r="G65" s="99" t="str">
        <f aca="false">IF(ABS(F65-F64)&lt;100,F65,"")</f>
        <v/>
      </c>
      <c r="H65" s="24" t="n">
        <f aca="false">calc!$Z$65</f>
        <v>-3.39607994064013</v>
      </c>
      <c r="M65" s="24" t="str">
        <f aca="false">IF(OR(K65="",L65=""),"",K65+L65)</f>
        <v/>
      </c>
    </row>
    <row r="66" customFormat="false" ht="17.75" hidden="false" customHeight="true" outlineLevel="0" collapsed="false">
      <c r="C66" s="21" t="n">
        <f aca="false">calc!$D$66</f>
        <v>6</v>
      </c>
      <c r="D66" s="21" t="n">
        <f aca="false">calc!$E$66</f>
        <v>3</v>
      </c>
      <c r="E66" s="21" t="n">
        <v>65</v>
      </c>
      <c r="F66" s="98" t="n">
        <f aca="false">calc!$X$66</f>
        <v>25.7623274265111</v>
      </c>
      <c r="G66" s="99" t="n">
        <f aca="false">IF(ABS(F66-F65)&lt;100,F66,"")</f>
        <v>25.7623274265111</v>
      </c>
      <c r="H66" s="24" t="n">
        <f aca="false">calc!$Z$66</f>
        <v>-2.47265742452658</v>
      </c>
      <c r="M66" s="24" t="str">
        <f aca="false">IF(OR(K66="",L66=""),"",K66+L66)</f>
        <v/>
      </c>
    </row>
    <row r="67" customFormat="false" ht="17.75" hidden="false" customHeight="true" outlineLevel="0" collapsed="false">
      <c r="C67" s="21" t="n">
        <f aca="false">calc!$D$67</f>
        <v>7</v>
      </c>
      <c r="D67" s="21" t="n">
        <f aca="false">calc!$E$67</f>
        <v>3</v>
      </c>
      <c r="E67" s="21" t="n">
        <v>66</v>
      </c>
      <c r="F67" s="98" t="n">
        <f aca="false">calc!$X$67</f>
        <v>38.3378132025819</v>
      </c>
      <c r="G67" s="99" t="n">
        <f aca="false">IF(ABS(F67-F66)&lt;100,F67,"")</f>
        <v>38.3378132025819</v>
      </c>
      <c r="H67" s="24" t="n">
        <f aca="false">calc!$Z$67</f>
        <v>-1.44898146093675</v>
      </c>
      <c r="M67" s="24" t="str">
        <f aca="false">IF(OR(K67="",L67=""),"",K67+L67)</f>
        <v/>
      </c>
    </row>
    <row r="68" customFormat="false" ht="17.75" hidden="false" customHeight="true" outlineLevel="0" collapsed="false">
      <c r="C68" s="21" t="n">
        <f aca="false">calc!$D$68</f>
        <v>8</v>
      </c>
      <c r="D68" s="21" t="n">
        <f aca="false">calc!$E$68</f>
        <v>3</v>
      </c>
      <c r="E68" s="21" t="n">
        <v>67</v>
      </c>
      <c r="F68" s="98" t="n">
        <f aca="false">calc!$X$68</f>
        <v>50.6028413038316</v>
      </c>
      <c r="G68" s="99" t="n">
        <f aca="false">IF(ABS(F68-F67)&lt;100,F68,"")</f>
        <v>50.6028413038316</v>
      </c>
      <c r="H68" s="24" t="n">
        <f aca="false">calc!$Z$68</f>
        <v>-0.37870377658578</v>
      </c>
      <c r="M68" s="24" t="str">
        <f aca="false">IF(OR(K68="",L68=""),"",K68+L68)</f>
        <v/>
      </c>
    </row>
    <row r="69" customFormat="false" ht="17.75" hidden="false" customHeight="true" outlineLevel="0" collapsed="false">
      <c r="C69" s="21" t="n">
        <f aca="false">calc!$D$69</f>
        <v>9</v>
      </c>
      <c r="D69" s="21" t="n">
        <f aca="false">calc!$E$69</f>
        <v>3</v>
      </c>
      <c r="E69" s="21" t="n">
        <v>68</v>
      </c>
      <c r="F69" s="98" t="n">
        <f aca="false">calc!$X$69</f>
        <v>62.6308845165425</v>
      </c>
      <c r="G69" s="99" t="n">
        <f aca="false">IF(ABS(F69-F68)&lt;100,F69,"")</f>
        <v>62.6308845165425</v>
      </c>
      <c r="H69" s="24" t="n">
        <f aca="false">calc!$Z$69</f>
        <v>0.690814493374098</v>
      </c>
      <c r="M69" s="24" t="str">
        <f aca="false">IF(OR(K69="",L69=""),"",K69+L69)</f>
        <v/>
      </c>
    </row>
    <row r="70" customFormat="false" ht="17.75" hidden="false" customHeight="true" outlineLevel="0" collapsed="false">
      <c r="C70" s="21" t="n">
        <f aca="false">calc!$D$70</f>
        <v>10</v>
      </c>
      <c r="D70" s="21" t="n">
        <f aca="false">calc!$E$70</f>
        <v>3</v>
      </c>
      <c r="E70" s="21" t="n">
        <v>69</v>
      </c>
      <c r="F70" s="98" t="n">
        <f aca="false">calc!$X$70</f>
        <v>74.5080126763305</v>
      </c>
      <c r="G70" s="99" t="n">
        <f aca="false">IF(ABS(F70-F69)&lt;100,F70,"")</f>
        <v>74.5080126763305</v>
      </c>
      <c r="H70" s="24" t="n">
        <f aca="false">calc!$Z$70</f>
        <v>1.71806086572641</v>
      </c>
      <c r="M70" s="24" t="str">
        <f aca="false">IF(OR(K70="",L70=""),"",K70+L70)</f>
        <v/>
      </c>
    </row>
    <row r="71" customFormat="false" ht="17.75" hidden="false" customHeight="true" outlineLevel="0" collapsed="false">
      <c r="C71" s="21" t="n">
        <f aca="false">calc!$D$71</f>
        <v>11</v>
      </c>
      <c r="D71" s="21" t="n">
        <f aca="false">calc!$E$71</f>
        <v>3</v>
      </c>
      <c r="E71" s="21" t="n">
        <v>70</v>
      </c>
      <c r="F71" s="98" t="n">
        <f aca="false">calc!$X$71</f>
        <v>86.3246378352171</v>
      </c>
      <c r="G71" s="99" t="n">
        <f aca="false">IF(ABS(F71-F70)&lt;100,F71,"")</f>
        <v>86.3246378352171</v>
      </c>
      <c r="H71" s="24" t="n">
        <f aca="false">calc!$Z$71</f>
        <v>2.66593474016499</v>
      </c>
      <c r="M71" s="24" t="str">
        <f aca="false">IF(OR(K71="",L71=""),"",K71+L71)</f>
        <v/>
      </c>
    </row>
    <row r="72" customFormat="false" ht="17.75" hidden="false" customHeight="true" outlineLevel="0" collapsed="false">
      <c r="C72" s="21" t="n">
        <f aca="false">calc!$D$72</f>
        <v>12</v>
      </c>
      <c r="D72" s="21" t="n">
        <f aca="false">calc!$E$72</f>
        <v>3</v>
      </c>
      <c r="E72" s="21" t="n">
        <v>71</v>
      </c>
      <c r="F72" s="98" t="n">
        <f aca="false">calc!$X$72</f>
        <v>98.1694258505817</v>
      </c>
      <c r="G72" s="99" t="n">
        <f aca="false">IF(ABS(F72-F71)&lt;100,F72,"")</f>
        <v>98.1694258505817</v>
      </c>
      <c r="H72" s="24" t="n">
        <f aca="false">calc!$Z$72</f>
        <v>3.50017489899978</v>
      </c>
      <c r="M72" s="24" t="str">
        <f aca="false">IF(OR(K72="",L72=""),"",K72+L72)</f>
        <v/>
      </c>
    </row>
    <row r="73" customFormat="false" ht="17.75" hidden="false" customHeight="true" outlineLevel="0" collapsed="false">
      <c r="C73" s="21" t="n">
        <f aca="false">calc!$D$73</f>
        <v>13</v>
      </c>
      <c r="D73" s="21" t="n">
        <f aca="false">calc!$E$73</f>
        <v>3</v>
      </c>
      <c r="E73" s="21" t="n">
        <v>72</v>
      </c>
      <c r="F73" s="98" t="n">
        <f aca="false">calc!$X$73</f>
        <v>110.125006477813</v>
      </c>
      <c r="G73" s="99" t="n">
        <f aca="false">IF(ABS(F73-F72)&lt;100,F73,"")</f>
        <v>110.125006477813</v>
      </c>
      <c r="H73" s="24" t="n">
        <f aca="false">calc!$Z$73</f>
        <v>4.18813240415431</v>
      </c>
      <c r="M73" s="24" t="str">
        <f aca="false">IF(OR(K73="",L73=""),"",K73+L73)</f>
        <v/>
      </c>
    </row>
    <row r="74" customFormat="false" ht="17.75" hidden="false" customHeight="true" outlineLevel="0" collapsed="false">
      <c r="C74" s="21" t="n">
        <f aca="false">calc!$D$74</f>
        <v>14</v>
      </c>
      <c r="D74" s="21" t="n">
        <f aca="false">calc!$E$74</f>
        <v>3</v>
      </c>
      <c r="E74" s="21" t="n">
        <v>73</v>
      </c>
      <c r="F74" s="98" t="n">
        <f aca="false">calc!$X$74</f>
        <v>122.264402835736</v>
      </c>
      <c r="G74" s="99" t="n">
        <f aca="false">IF(ABS(F74-F73)&lt;100,F74,"")</f>
        <v>122.264402835736</v>
      </c>
      <c r="H74" s="24" t="n">
        <f aca="false">calc!$Z$74</f>
        <v>4.69817708743266</v>
      </c>
      <c r="M74" s="24" t="str">
        <f aca="false">IF(OR(K74="",L74=""),"",K74+L74)</f>
        <v/>
      </c>
    </row>
    <row r="75" customFormat="false" ht="17.75" hidden="false" customHeight="true" outlineLevel="0" collapsed="false">
      <c r="C75" s="21" t="n">
        <f aca="false">calc!$D$75</f>
        <v>15</v>
      </c>
      <c r="D75" s="21" t="n">
        <f aca="false">calc!$E$75</f>
        <v>3</v>
      </c>
      <c r="E75" s="21" t="n">
        <v>74</v>
      </c>
      <c r="F75" s="98" t="n">
        <f aca="false">calc!$X$75</f>
        <v>134.647176390093</v>
      </c>
      <c r="G75" s="99" t="n">
        <f aca="false">IF(ABS(F75-F74)&lt;100,F75,"")</f>
        <v>134.647176390093</v>
      </c>
      <c r="H75" s="24" t="n">
        <f aca="false">calc!$Z$75</f>
        <v>5.00006954429114</v>
      </c>
      <c r="M75" s="24" t="str">
        <f aca="false">IF(OR(K75="",L75=""),"",K75+L75)</f>
        <v/>
      </c>
    </row>
    <row r="76" customFormat="false" ht="17.75" hidden="false" customHeight="true" outlineLevel="0" collapsed="false">
      <c r="C76" s="21" t="n">
        <f aca="false">calc!$D$76</f>
        <v>16</v>
      </c>
      <c r="D76" s="21" t="n">
        <f aca="false">calc!$E$76</f>
        <v>3</v>
      </c>
      <c r="E76" s="21" t="n">
        <v>75</v>
      </c>
      <c r="F76" s="98" t="n">
        <f aca="false">calc!$X$76</f>
        <v>147.315040685009</v>
      </c>
      <c r="G76" s="99" t="n">
        <f aca="false">IF(ABS(F76-F75)&lt;100,F76,"")</f>
        <v>147.315040685009</v>
      </c>
      <c r="H76" s="24" t="n">
        <f aca="false">calc!$Z$76</f>
        <v>5.06672676479048</v>
      </c>
      <c r="M76" s="24" t="str">
        <f aca="false">IF(OR(K76="",L76=""),"",K76+L76)</f>
        <v/>
      </c>
    </row>
    <row r="77" customFormat="false" ht="17.75" hidden="false" customHeight="true" outlineLevel="0" collapsed="false">
      <c r="C77" s="21" t="n">
        <f aca="false">calc!$D$77</f>
        <v>17</v>
      </c>
      <c r="D77" s="21" t="n">
        <f aca="false">calc!$E$77</f>
        <v>3</v>
      </c>
      <c r="E77" s="21" t="n">
        <v>76</v>
      </c>
      <c r="F77" s="98" t="n">
        <f aca="false">calc!$X$77</f>
        <v>160.287714436012</v>
      </c>
      <c r="G77" s="99" t="n">
        <f aca="false">IF(ABS(F77-F76)&lt;100,F77,"")</f>
        <v>160.287714436012</v>
      </c>
      <c r="H77" s="24" t="n">
        <f aca="false">calc!$Z$77</f>
        <v>4.8776744428877</v>
      </c>
      <c r="M77" s="24" t="str">
        <f aca="false">IF(OR(K77="",L77=""),"",K77+L77)</f>
        <v/>
      </c>
    </row>
    <row r="78" customFormat="false" ht="17.75" hidden="false" customHeight="true" outlineLevel="0" collapsed="false">
      <c r="C78" s="21" t="n">
        <f aca="false">calc!$D$78</f>
        <v>18</v>
      </c>
      <c r="D78" s="21" t="n">
        <f aca="false">calc!$E$78</f>
        <v>3</v>
      </c>
      <c r="E78" s="21" t="n">
        <v>77</v>
      </c>
      <c r="F78" s="98" t="n">
        <f aca="false">calc!$X$78</f>
        <v>173.560517351659</v>
      </c>
      <c r="G78" s="99" t="n">
        <f aca="false">IF(ABS(F78-F77)&lt;100,F78,"")</f>
        <v>173.560517351659</v>
      </c>
      <c r="H78" s="24" t="n">
        <f aca="false">calc!$Z$78</f>
        <v>4.42393463221455</v>
      </c>
      <c r="M78" s="24" t="str">
        <f aca="false">IF(OR(K78="",L78=""),"",K78+L78)</f>
        <v/>
      </c>
    </row>
    <row r="79" customFormat="false" ht="17.75" hidden="false" customHeight="true" outlineLevel="0" collapsed="false">
      <c r="C79" s="21" t="n">
        <f aca="false">calc!$D$79</f>
        <v>19</v>
      </c>
      <c r="D79" s="21" t="n">
        <f aca="false">calc!$E$79</f>
        <v>3</v>
      </c>
      <c r="E79" s="21" t="n">
        <v>78</v>
      </c>
      <c r="F79" s="98" t="n">
        <f aca="false">calc!$X$79</f>
        <v>187.105237679086</v>
      </c>
      <c r="G79" s="99" t="n">
        <f aca="false">IF(ABS(F79-F78)&lt;100,F79,"")</f>
        <v>187.105237679086</v>
      </c>
      <c r="H79" s="24" t="n">
        <f aca="false">calc!$Z$79</f>
        <v>3.71325873932798</v>
      </c>
      <c r="M79" s="24" t="str">
        <f aca="false">IF(OR(K79="",L79=""),"",K79+L79)</f>
        <v/>
      </c>
    </row>
    <row r="80" customFormat="false" ht="17.75" hidden="false" customHeight="true" outlineLevel="0" collapsed="false">
      <c r="C80" s="21" t="n">
        <f aca="false">calc!$D$80</f>
        <v>20</v>
      </c>
      <c r="D80" s="21" t="n">
        <f aca="false">calc!$E$80</f>
        <v>3</v>
      </c>
      <c r="E80" s="21" t="n">
        <v>79</v>
      </c>
      <c r="F80" s="98" t="n">
        <f aca="false">calc!$X$80</f>
        <v>200.875012233818</v>
      </c>
      <c r="G80" s="99" t="n">
        <f aca="false">IF(ABS(F80-F79)&lt;100,F80,"")</f>
        <v>200.875012233818</v>
      </c>
      <c r="H80" s="24" t="n">
        <f aca="false">calc!$Z$80</f>
        <v>2.77393081049199</v>
      </c>
      <c r="M80" s="24" t="str">
        <f aca="false">IF(OR(K80="",L80=""),"",K80+L80)</f>
        <v/>
      </c>
    </row>
    <row r="81" customFormat="false" ht="17.75" hidden="false" customHeight="true" outlineLevel="0" collapsed="false">
      <c r="C81" s="21" t="n">
        <f aca="false">calc!$D$81</f>
        <v>21</v>
      </c>
      <c r="D81" s="21" t="n">
        <f aca="false">calc!$E$81</f>
        <v>3</v>
      </c>
      <c r="E81" s="21" t="n">
        <v>80</v>
      </c>
      <c r="F81" s="98" t="n">
        <f aca="false">calc!$X$81</f>
        <v>214.812624529445</v>
      </c>
      <c r="G81" s="99" t="n">
        <f aca="false">IF(ABS(F81-F80)&lt;100,F81,"")</f>
        <v>214.812624529445</v>
      </c>
      <c r="H81" s="24" t="n">
        <f aca="false">calc!$Z$81</f>
        <v>1.65539148607303</v>
      </c>
      <c r="M81" s="24" t="str">
        <f aca="false">IF(OR(K81="",L81=""),"",K81+L81)</f>
        <v/>
      </c>
    </row>
    <row r="82" customFormat="false" ht="17.75" hidden="false" customHeight="true" outlineLevel="0" collapsed="false">
      <c r="C82" s="21" t="n">
        <f aca="false">calc!$D$82</f>
        <v>22</v>
      </c>
      <c r="D82" s="21" t="n">
        <f aca="false">calc!$E$82</f>
        <v>3</v>
      </c>
      <c r="E82" s="21" t="n">
        <v>81</v>
      </c>
      <c r="F82" s="98" t="n">
        <f aca="false">calc!$X$82</f>
        <v>228.860281846406</v>
      </c>
      <c r="G82" s="99" t="n">
        <f aca="false">IF(ABS(F82-F81)&lt;100,F82,"")</f>
        <v>228.860281846406</v>
      </c>
      <c r="H82" s="24" t="n">
        <f aca="false">calc!$Z$82</f>
        <v>0.424898962946707</v>
      </c>
      <c r="M82" s="24" t="str">
        <f aca="false">IF(OR(K82="",L82=""),"",K82+L82)</f>
        <v/>
      </c>
    </row>
    <row r="83" customFormat="false" ht="17.75" hidden="false" customHeight="true" outlineLevel="0" collapsed="false">
      <c r="C83" s="21" t="n">
        <f aca="false">calc!$D$83</f>
        <v>23</v>
      </c>
      <c r="D83" s="21" t="n">
        <f aca="false">calc!$E$83</f>
        <v>3</v>
      </c>
      <c r="E83" s="21" t="n">
        <v>82</v>
      </c>
      <c r="F83" s="98" t="n">
        <f aca="false">calc!$X$83</f>
        <v>242.968162507403</v>
      </c>
      <c r="G83" s="99" t="n">
        <f aca="false">IF(ABS(F83-F82)&lt;100,F83,"")</f>
        <v>242.968162507403</v>
      </c>
      <c r="H83" s="24" t="n">
        <f aca="false">calc!$Z$83</f>
        <v>-0.839063532190848</v>
      </c>
      <c r="M83" s="24" t="str">
        <f aca="false">IF(OR(K83="",L83=""),"",K83+L83)</f>
        <v/>
      </c>
    </row>
    <row r="84" customFormat="false" ht="17.75" hidden="false" customHeight="true" outlineLevel="0" collapsed="false">
      <c r="C84" s="21" t="n">
        <f aca="false">calc!$D$84</f>
        <v>24</v>
      </c>
      <c r="D84" s="21" t="n">
        <f aca="false">calc!$E$84</f>
        <v>3</v>
      </c>
      <c r="E84" s="21" t="n">
        <v>83</v>
      </c>
      <c r="F84" s="98" t="n">
        <f aca="false">calc!$X$84</f>
        <v>257.099212976232</v>
      </c>
      <c r="G84" s="99" t="n">
        <f aca="false">IF(ABS(F84-F83)&lt;100,F84,"")</f>
        <v>257.099212976232</v>
      </c>
      <c r="H84" s="24" t="n">
        <f aca="false">calc!$Z$84</f>
        <v>-2.05477759238647</v>
      </c>
      <c r="M84" s="24" t="str">
        <f aca="false">IF(OR(K84="",L84=""),"",K84+L84)</f>
        <v/>
      </c>
    </row>
    <row r="85" customFormat="false" ht="17.75" hidden="false" customHeight="true" outlineLevel="0" collapsed="false">
      <c r="C85" s="21" t="n">
        <f aca="false">calc!$D$85</f>
        <v>25</v>
      </c>
      <c r="D85" s="21" t="n">
        <f aca="false">calc!$E$85</f>
        <v>3</v>
      </c>
      <c r="E85" s="21" t="n">
        <v>84</v>
      </c>
      <c r="F85" s="98" t="n">
        <f aca="false">calc!$X$85</f>
        <v>271.228829524948</v>
      </c>
      <c r="G85" s="99" t="n">
        <f aca="false">IF(ABS(F85-F84)&lt;100,F85,"")</f>
        <v>271.228829524948</v>
      </c>
      <c r="H85" s="24" t="n">
        <f aca="false">calc!$Z$85</f>
        <v>-3.1447082565863</v>
      </c>
      <c r="M85" s="24" t="str">
        <f aca="false">IF(OR(K85="",L85=""),"",K85+L85)</f>
        <v/>
      </c>
    </row>
    <row r="86" customFormat="false" ht="17.75" hidden="false" customHeight="true" outlineLevel="0" collapsed="false">
      <c r="C86" s="21" t="n">
        <f aca="false">calc!$D$86</f>
        <v>26</v>
      </c>
      <c r="D86" s="21" t="n">
        <f aca="false">calc!$E$86</f>
        <v>3</v>
      </c>
      <c r="E86" s="21" t="n">
        <v>85</v>
      </c>
      <c r="F86" s="98" t="n">
        <f aca="false">calc!$X$86</f>
        <v>285.339795754892</v>
      </c>
      <c r="G86" s="99" t="n">
        <f aca="false">IF(ABS(F86-F85)&lt;100,F86,"")</f>
        <v>285.339795754892</v>
      </c>
      <c r="H86" s="24" t="n">
        <f aca="false">calc!$Z$86</f>
        <v>-4.04125343750652</v>
      </c>
      <c r="M86" s="24" t="str">
        <f aca="false">IF(OR(K86="",L86=""),"",K86+L86)</f>
        <v/>
      </c>
    </row>
    <row r="87" customFormat="false" ht="17.75" hidden="false" customHeight="true" outlineLevel="0" collapsed="false">
      <c r="C87" s="21" t="n">
        <f aca="false">calc!$D$87</f>
        <v>27</v>
      </c>
      <c r="D87" s="21" t="n">
        <f aca="false">calc!$E$87</f>
        <v>3</v>
      </c>
      <c r="E87" s="21" t="n">
        <v>86</v>
      </c>
      <c r="F87" s="98" t="n">
        <f aca="false">calc!$X$87</f>
        <v>299.414528046722</v>
      </c>
      <c r="G87" s="99" t="n">
        <f aca="false">IF(ABS(F87-F86)&lt;100,F87,"")</f>
        <v>299.414528046722</v>
      </c>
      <c r="H87" s="24" t="n">
        <f aca="false">calc!$Z$87</f>
        <v>-4.69085160645408</v>
      </c>
      <c r="M87" s="24" t="str">
        <f aca="false">IF(OR(K87="",L87=""),"",K87+L87)</f>
        <v/>
      </c>
    </row>
    <row r="88" customFormat="false" ht="17.75" hidden="false" customHeight="true" outlineLevel="0" collapsed="false">
      <c r="C88" s="21" t="n">
        <f aca="false">calc!$D$88</f>
        <v>28</v>
      </c>
      <c r="D88" s="21" t="n">
        <f aca="false">calc!$E$88</f>
        <v>3</v>
      </c>
      <c r="E88" s="21" t="n">
        <v>87</v>
      </c>
      <c r="F88" s="98" t="n">
        <f aca="false">calc!$X$88</f>
        <v>313.427666345688</v>
      </c>
      <c r="G88" s="99" t="n">
        <f aca="false">IF(ABS(F88-F87)&lt;100,F88,"")</f>
        <v>313.427666345688</v>
      </c>
      <c r="H88" s="24" t="n">
        <f aca="false">calc!$Z$88</f>
        <v>-5.05705120574829</v>
      </c>
      <c r="M88" s="24" t="str">
        <f aca="false">IF(OR(K88="",L88=""),"",K88+L88)</f>
        <v/>
      </c>
    </row>
    <row r="89" customFormat="false" ht="17.75" hidden="false" customHeight="true" outlineLevel="0" collapsed="false">
      <c r="C89" s="21" t="n">
        <f aca="false">calc!$D$89</f>
        <v>29</v>
      </c>
      <c r="D89" s="21" t="n">
        <f aca="false">calc!$E$89</f>
        <v>3</v>
      </c>
      <c r="E89" s="21" t="n">
        <v>88</v>
      </c>
      <c r="F89" s="98" t="n">
        <f aca="false">calc!$X$89</f>
        <v>327.341950755469</v>
      </c>
      <c r="G89" s="99" t="n">
        <f aca="false">IF(ABS(F89-F88)&lt;100,F89,"")</f>
        <v>327.341950755469</v>
      </c>
      <c r="H89" s="24" t="n">
        <f aca="false">calc!$Z$89</f>
        <v>-5.12288491094002</v>
      </c>
      <c r="M89" s="24" t="str">
        <f aca="false">IF(OR(K89="",L89=""),"",K89+L89)</f>
        <v/>
      </c>
    </row>
    <row r="90" customFormat="false" ht="17.75" hidden="false" customHeight="true" outlineLevel="0" collapsed="false">
      <c r="C90" s="21" t="n">
        <f aca="false">calc!$D$90</f>
        <v>30</v>
      </c>
      <c r="D90" s="21" t="n">
        <f aca="false">calc!$E$90</f>
        <v>3</v>
      </c>
      <c r="E90" s="21" t="n">
        <v>89</v>
      </c>
      <c r="F90" s="98" t="n">
        <f aca="false">calc!$X$90</f>
        <v>341.109168742506</v>
      </c>
      <c r="G90" s="99" t="n">
        <f aca="false">IF(ABS(F90-F89)&lt;100,F90,"")</f>
        <v>341.109168742506</v>
      </c>
      <c r="H90" s="24" t="n">
        <f aca="false">calc!$Z$90</f>
        <v>-4.89217152750564</v>
      </c>
      <c r="M90" s="24" t="str">
        <f aca="false">IF(OR(K90="",L90=""),"",K90+L90)</f>
        <v/>
      </c>
    </row>
    <row r="91" customFormat="false" ht="17.75" hidden="false" customHeight="true" outlineLevel="0" collapsed="false">
      <c r="C91" s="21" t="n">
        <f aca="false">calc!$D$91</f>
        <v>31</v>
      </c>
      <c r="D91" s="21" t="n">
        <f aca="false">calc!$E$91</f>
        <v>3</v>
      </c>
      <c r="E91" s="21" t="n">
        <v>90</v>
      </c>
      <c r="F91" s="98" t="n">
        <f aca="false">calc!$X$91</f>
        <v>354.676171777589</v>
      </c>
      <c r="G91" s="99" t="n">
        <f aca="false">IF(ABS(F91-F90)&lt;100,F91,"")</f>
        <v>354.676171777589</v>
      </c>
      <c r="H91" s="24" t="n">
        <f aca="false">calc!$Z$91</f>
        <v>-4.38889289165057</v>
      </c>
      <c r="M91" s="24" t="str">
        <f aca="false">IF(OR(K91="",L91=""),"",K91+L91)</f>
        <v/>
      </c>
    </row>
    <row r="92" customFormat="false" ht="17.75" hidden="false" customHeight="true" outlineLevel="0" collapsed="false">
      <c r="C92" s="21" t="n">
        <f aca="false">calc!$D$92</f>
        <v>1</v>
      </c>
      <c r="D92" s="21" t="n">
        <f aca="false">calc!$E$92</f>
        <v>4</v>
      </c>
      <c r="E92" s="21" t="n">
        <v>91</v>
      </c>
      <c r="F92" s="98" t="n">
        <f aca="false">calc!$X$92</f>
        <v>7.99421019289873</v>
      </c>
      <c r="G92" s="99" t="str">
        <f aca="false">IF(ABS(F92-F91)&lt;100,F92,"")</f>
        <v/>
      </c>
      <c r="H92" s="24" t="n">
        <f aca="false">calc!$Z$92</f>
        <v>-3.65405278407677</v>
      </c>
      <c r="M92" s="24" t="str">
        <f aca="false">IF(OR(K92="",L92=""),"",K92+L92)</f>
        <v/>
      </c>
    </row>
    <row r="93" customFormat="false" ht="17.75" hidden="false" customHeight="true" outlineLevel="0" collapsed="false">
      <c r="C93" s="21" t="n">
        <f aca="false">calc!$D$93</f>
        <v>2</v>
      </c>
      <c r="D93" s="21" t="n">
        <f aca="false">calc!$E$93</f>
        <v>4</v>
      </c>
      <c r="E93" s="21" t="n">
        <v>92</v>
      </c>
      <c r="F93" s="98" t="n">
        <f aca="false">calc!$X$93</f>
        <v>21.0287632680193</v>
      </c>
      <c r="G93" s="99" t="n">
        <f aca="false">IF(ABS(F93-F92)&lt;100,F93,"")</f>
        <v>21.0287632680193</v>
      </c>
      <c r="H93" s="24" t="n">
        <f aca="false">calc!$Z$93</f>
        <v>-2.74032307649918</v>
      </c>
      <c r="M93" s="24" t="str">
        <f aca="false">IF(OR(K93="",L93=""),"",K93+L93)</f>
        <v/>
      </c>
    </row>
    <row r="94" customFormat="false" ht="17.75" hidden="false" customHeight="true" outlineLevel="0" collapsed="false">
      <c r="C94" s="21" t="n">
        <f aca="false">calc!$D$94</f>
        <v>3</v>
      </c>
      <c r="D94" s="21" t="n">
        <f aca="false">calc!$E$94</f>
        <v>4</v>
      </c>
      <c r="E94" s="21" t="n">
        <v>93</v>
      </c>
      <c r="F94" s="98" t="n">
        <f aca="false">calc!$X$94</f>
        <v>33.7670158809909</v>
      </c>
      <c r="G94" s="99" t="n">
        <f aca="false">IF(ABS(F94-F93)&lt;100,F94,"")</f>
        <v>33.7670158809909</v>
      </c>
      <c r="H94" s="24" t="n">
        <f aca="false">calc!$Z$94</f>
        <v>-1.70571747879863</v>
      </c>
      <c r="M94" s="24" t="str">
        <f aca="false">IF(OR(K94="",L94=""),"",K94+L94)</f>
        <v/>
      </c>
    </row>
    <row r="95" customFormat="false" ht="17.75" hidden="false" customHeight="true" outlineLevel="0" collapsed="false">
      <c r="C95" s="21" t="n">
        <f aca="false">calc!$D$95</f>
        <v>4</v>
      </c>
      <c r="D95" s="21" t="n">
        <f aca="false">calc!$E$95</f>
        <v>4</v>
      </c>
      <c r="E95" s="21" t="n">
        <v>94</v>
      </c>
      <c r="F95" s="98" t="n">
        <f aca="false">calc!$X$95</f>
        <v>46.2211080621056</v>
      </c>
      <c r="G95" s="99" t="n">
        <f aca="false">IF(ABS(F95-F94)&lt;100,F95,"")</f>
        <v>46.2211080621056</v>
      </c>
      <c r="H95" s="24" t="n">
        <f aca="false">calc!$Z$95</f>
        <v>-0.607880157753333</v>
      </c>
      <c r="M95" s="24" t="str">
        <f aca="false">IF(OR(K95="",L95=""),"",K95+L95)</f>
        <v/>
      </c>
    </row>
    <row r="96" customFormat="false" ht="17.75" hidden="false" customHeight="true" outlineLevel="0" collapsed="false">
      <c r="C96" s="21" t="n">
        <f aca="false">calc!$D$96</f>
        <v>5</v>
      </c>
      <c r="D96" s="21" t="n">
        <f aca="false">calc!$E$96</f>
        <v>4</v>
      </c>
      <c r="E96" s="21" t="n">
        <v>95</v>
      </c>
      <c r="F96" s="98" t="n">
        <f aca="false">calc!$X$96</f>
        <v>58.4268293492726</v>
      </c>
      <c r="G96" s="99" t="n">
        <f aca="false">IF(ABS(F96-F95)&lt;100,F96,"")</f>
        <v>58.4268293492726</v>
      </c>
      <c r="H96" s="24" t="n">
        <f aca="false">calc!$Z$96</f>
        <v>0.499840617095038</v>
      </c>
      <c r="M96" s="24" t="str">
        <f aca="false">IF(OR(K96="",L96=""),"",K96+L96)</f>
        <v/>
      </c>
    </row>
    <row r="97" customFormat="false" ht="17.75" hidden="false" customHeight="true" outlineLevel="0" collapsed="false">
      <c r="C97" s="21" t="n">
        <f aca="false">calc!$D$97</f>
        <v>6</v>
      </c>
      <c r="D97" s="21" t="n">
        <f aca="false">calc!$E$97</f>
        <v>4</v>
      </c>
      <c r="E97" s="21" t="n">
        <v>96</v>
      </c>
      <c r="F97" s="98" t="n">
        <f aca="false">calc!$X$97</f>
        <v>70.4389135864027</v>
      </c>
      <c r="G97" s="99" t="n">
        <f aca="false">IF(ABS(F97-F96)&lt;100,F97,"")</f>
        <v>70.4389135864027</v>
      </c>
      <c r="H97" s="24" t="n">
        <f aca="false">calc!$Z$97</f>
        <v>1.57020305694761</v>
      </c>
      <c r="M97" s="24" t="str">
        <f aca="false">IF(OR(K97="",L97=""),"",K97+L97)</f>
        <v/>
      </c>
    </row>
    <row r="98" customFormat="false" ht="17.75" hidden="false" customHeight="true" outlineLevel="0" collapsed="false">
      <c r="C98" s="21" t="n">
        <f aca="false">calc!$D$98</f>
        <v>7</v>
      </c>
      <c r="D98" s="21" t="n">
        <f aca="false">calc!$E$98</f>
        <v>4</v>
      </c>
      <c r="E98" s="21" t="n">
        <v>97</v>
      </c>
      <c r="F98" s="98" t="n">
        <f aca="false">calc!$X$98</f>
        <v>82.3249376839957</v>
      </c>
      <c r="G98" s="99" t="n">
        <f aca="false">IF(ABS(F98-F97)&lt;100,F98,"")</f>
        <v>82.3249376839957</v>
      </c>
      <c r="H98" s="24" t="n">
        <f aca="false">calc!$Z$98</f>
        <v>2.56217095498147</v>
      </c>
      <c r="M98" s="24" t="str">
        <f aca="false">IF(OR(K98="",L98=""),"",K98+L98)</f>
        <v/>
      </c>
    </row>
    <row r="99" customFormat="false" ht="17.75" hidden="false" customHeight="true" outlineLevel="0" collapsed="false">
      <c r="C99" s="21" t="n">
        <f aca="false">calc!$D$99</f>
        <v>8</v>
      </c>
      <c r="D99" s="21" t="n">
        <f aca="false">calc!$E$99</f>
        <v>4</v>
      </c>
      <c r="E99" s="21" t="n">
        <v>98</v>
      </c>
      <c r="F99" s="98" t="n">
        <f aca="false">calc!$X$99</f>
        <v>94.1597555804242</v>
      </c>
      <c r="G99" s="99" t="n">
        <f aca="false">IF(ABS(F99-F98)&lt;100,F99,"")</f>
        <v>94.1597555804242</v>
      </c>
      <c r="H99" s="24" t="n">
        <f aca="false">calc!$Z$99</f>
        <v>3.44001408879926</v>
      </c>
      <c r="M99" s="24" t="str">
        <f aca="false">IF(OR(K99="",L99=""),"",K99+L99)</f>
        <v/>
      </c>
    </row>
    <row r="100" customFormat="false" ht="17.75" hidden="false" customHeight="true" outlineLevel="0" collapsed="false">
      <c r="C100" s="21" t="n">
        <f aca="false">calc!$D$100</f>
        <v>9</v>
      </c>
      <c r="D100" s="21" t="n">
        <f aca="false">calc!$E$100</f>
        <v>4</v>
      </c>
      <c r="E100" s="21" t="n">
        <v>99</v>
      </c>
      <c r="F100" s="98" t="n">
        <f aca="false">calc!$X$100</f>
        <v>106.021519454029</v>
      </c>
      <c r="G100" s="99" t="n">
        <f aca="false">IF(ABS(F100-F99)&lt;100,F100,"")</f>
        <v>106.021519454029</v>
      </c>
      <c r="H100" s="24" t="n">
        <f aca="false">calc!$Z$100</f>
        <v>4.17203543658165</v>
      </c>
      <c r="M100" s="24" t="str">
        <f aca="false">IF(OR(K100="",L100=""),"",K100+L100)</f>
        <v/>
      </c>
    </row>
    <row r="101" customFormat="false" ht="17.75" hidden="false" customHeight="true" outlineLevel="0" collapsed="false">
      <c r="C101" s="21" t="n">
        <f aca="false">calc!$D$101</f>
        <v>10</v>
      </c>
      <c r="D101" s="21" t="n">
        <f aca="false">calc!$E$101</f>
        <v>4</v>
      </c>
      <c r="E101" s="21" t="n">
        <v>100</v>
      </c>
      <c r="F101" s="98" t="n">
        <f aca="false">calc!$X$101</f>
        <v>117.989106130608</v>
      </c>
      <c r="G101" s="99" t="n">
        <f aca="false">IF(ABS(F101-F100)&lt;100,F101,"")</f>
        <v>117.989106130608</v>
      </c>
      <c r="H101" s="24" t="n">
        <f aca="false">calc!$Z$101</f>
        <v>4.72933179969381</v>
      </c>
      <c r="M101" s="24" t="str">
        <f aca="false">IF(OR(K101="",L101=""),"",K101+L101)</f>
        <v/>
      </c>
    </row>
    <row r="102" customFormat="false" ht="17.75" hidden="false" customHeight="true" outlineLevel="0" collapsed="false">
      <c r="C102" s="21" t="n">
        <f aca="false">calc!$D$102</f>
        <v>11</v>
      </c>
      <c r="D102" s="21" t="n">
        <f aca="false">calc!$E$102</f>
        <v>4</v>
      </c>
      <c r="E102" s="21" t="n">
        <v>101</v>
      </c>
      <c r="F102" s="98" t="n">
        <f aca="false">calc!$X$102</f>
        <v>130.139768960403</v>
      </c>
      <c r="G102" s="99" t="n">
        <f aca="false">IF(ABS(F102-F101)&lt;100,F102,"")</f>
        <v>130.139768960403</v>
      </c>
      <c r="H102" s="24" t="n">
        <f aca="false">calc!$Z$102</f>
        <v>5.08490923494663</v>
      </c>
      <c r="M102" s="24" t="str">
        <f aca="false">IF(OR(K102="",L102=""),"",K102+L102)</f>
        <v/>
      </c>
    </row>
    <row r="103" customFormat="false" ht="17.75" hidden="false" customHeight="true" outlineLevel="0" collapsed="false">
      <c r="C103" s="21" t="n">
        <f aca="false">calc!$D$103</f>
        <v>12</v>
      </c>
      <c r="D103" s="21" t="n">
        <f aca="false">calc!$E$103</f>
        <v>4</v>
      </c>
      <c r="E103" s="21" t="n">
        <v>102</v>
      </c>
      <c r="F103" s="98" t="n">
        <f aca="false">calc!$X$103</f>
        <v>142.545549061014</v>
      </c>
      <c r="G103" s="99" t="n">
        <f aca="false">IF(ABS(F103-F102)&lt;100,F103,"")</f>
        <v>142.545549061014</v>
      </c>
      <c r="H103" s="24" t="n">
        <f aca="false">calc!$Z$103</f>
        <v>5.21360576761545</v>
      </c>
      <c r="M103" s="24" t="str">
        <f aca="false">IF(OR(K103="",L103=""),"",K103+L103)</f>
        <v/>
      </c>
    </row>
    <row r="104" customFormat="false" ht="17.75" hidden="false" customHeight="true" outlineLevel="0" collapsed="false">
      <c r="C104" s="21" t="n">
        <f aca="false">calc!$D$104</f>
        <v>13</v>
      </c>
      <c r="D104" s="21" t="n">
        <f aca="false">calc!$E$104</f>
        <v>4</v>
      </c>
      <c r="E104" s="21" t="n">
        <v>103</v>
      </c>
      <c r="F104" s="98" t="n">
        <f aca="false">calc!$X$104</f>
        <v>155.267557917593</v>
      </c>
      <c r="G104" s="99" t="n">
        <f aca="false">IF(ABS(F104-F103)&lt;100,F104,"")</f>
        <v>155.267557917593</v>
      </c>
      <c r="H104" s="24" t="n">
        <f aca="false">calc!$Z$104</f>
        <v>5.09346702766524</v>
      </c>
      <c r="M104" s="24" t="str">
        <f aca="false">IF(OR(K104="",L104=""),"",K104+L104)</f>
        <v/>
      </c>
    </row>
    <row r="105" customFormat="false" ht="17.75" hidden="false" customHeight="true" outlineLevel="0" collapsed="false">
      <c r="C105" s="21" t="n">
        <f aca="false">calc!$D$105</f>
        <v>14</v>
      </c>
      <c r="D105" s="21" t="n">
        <f aca="false">calc!$E$105</f>
        <v>4</v>
      </c>
      <c r="E105" s="21" t="n">
        <v>104</v>
      </c>
      <c r="F105" s="98" t="n">
        <f aca="false">calc!$X$105</f>
        <v>168.348448777633</v>
      </c>
      <c r="G105" s="99" t="n">
        <f aca="false">IF(ABS(F105-F104)&lt;100,F105,"")</f>
        <v>168.348448777633</v>
      </c>
      <c r="H105" s="24" t="n">
        <f aca="false">calc!$Z$105</f>
        <v>4.70916830984732</v>
      </c>
      <c r="M105" s="24" t="str">
        <f aca="false">IF(OR(K105="",L105=""),"",K105+L105)</f>
        <v/>
      </c>
    </row>
    <row r="106" customFormat="false" ht="17.75" hidden="false" customHeight="true" outlineLevel="0" collapsed="false">
      <c r="C106" s="21" t="n">
        <f aca="false">calc!$D$106</f>
        <v>15</v>
      </c>
      <c r="D106" s="21" t="n">
        <f aca="false">calc!$E$106</f>
        <v>4</v>
      </c>
      <c r="E106" s="21" t="n">
        <v>105</v>
      </c>
      <c r="F106" s="98" t="n">
        <f aca="false">calc!$X$106</f>
        <v>181.804696673612</v>
      </c>
      <c r="G106" s="99" t="n">
        <f aca="false">IF(ABS(F106-F105)&lt;100,F106,"")</f>
        <v>181.804696673612</v>
      </c>
      <c r="H106" s="24" t="n">
        <f aca="false">calc!$Z$106</f>
        <v>4.05750423222209</v>
      </c>
      <c r="M106" s="24" t="str">
        <f aca="false">IF(OR(K106="",L106=""),"",K106+L106)</f>
        <v/>
      </c>
    </row>
    <row r="107" customFormat="false" ht="17.75" hidden="false" customHeight="true" outlineLevel="0" collapsed="false">
      <c r="C107" s="21" t="n">
        <f aca="false">calc!$D$107</f>
        <v>16</v>
      </c>
      <c r="D107" s="21" t="n">
        <f aca="false">calc!$E$107</f>
        <v>4</v>
      </c>
      <c r="E107" s="21" t="n">
        <v>106</v>
      </c>
      <c r="F107" s="98" t="n">
        <f aca="false">calc!$X$107</f>
        <v>195.621105335002</v>
      </c>
      <c r="G107" s="99" t="n">
        <f aca="false">IF(ABS(F107-F106)&lt;100,F107,"")</f>
        <v>195.621105335002</v>
      </c>
      <c r="H107" s="24" t="n">
        <f aca="false">calc!$Z$107</f>
        <v>3.15386681327253</v>
      </c>
      <c r="M107" s="24" t="str">
        <f aca="false">IF(OR(K107="",L107=""),"",K107+L107)</f>
        <v/>
      </c>
    </row>
    <row r="108" customFormat="false" ht="17.75" hidden="false" customHeight="true" outlineLevel="0" collapsed="false">
      <c r="C108" s="21" t="n">
        <f aca="false">calc!$D$108</f>
        <v>17</v>
      </c>
      <c r="D108" s="21" t="n">
        <f aca="false">calc!$E$108</f>
        <v>4</v>
      </c>
      <c r="E108" s="21" t="n">
        <v>107</v>
      </c>
      <c r="F108" s="98" t="n">
        <f aca="false">calc!$X$108</f>
        <v>209.749838457252</v>
      </c>
      <c r="G108" s="99" t="n">
        <f aca="false">IF(ABS(F108-F107)&lt;100,F108,"")</f>
        <v>209.749838457252</v>
      </c>
      <c r="H108" s="24" t="n">
        <f aca="false">calc!$Z$108</f>
        <v>2.03744222877152</v>
      </c>
      <c r="M108" s="24" t="str">
        <f aca="false">IF(OR(K108="",L108=""),"",K108+L108)</f>
        <v/>
      </c>
    </row>
    <row r="109" customFormat="false" ht="17.75" hidden="false" customHeight="true" outlineLevel="0" collapsed="false">
      <c r="C109" s="21" t="n">
        <f aca="false">calc!$D$109</f>
        <v>18</v>
      </c>
      <c r="D109" s="21" t="n">
        <f aca="false">calc!$E$109</f>
        <v>4</v>
      </c>
      <c r="E109" s="21" t="n">
        <v>108</v>
      </c>
      <c r="F109" s="98" t="n">
        <f aca="false">calc!$X$109</f>
        <v>224.115186061345</v>
      </c>
      <c r="G109" s="99" t="n">
        <f aca="false">IF(ABS(F109-F108)&lt;100,F109,"")</f>
        <v>224.115186061345</v>
      </c>
      <c r="H109" s="24" t="n">
        <f aca="false">calc!$Z$109</f>
        <v>0.772384657771954</v>
      </c>
      <c r="M109" s="24" t="str">
        <f aca="false">IF(OR(K109="",L109=""),"",K109+L109)</f>
        <v/>
      </c>
    </row>
    <row r="110" customFormat="false" ht="17.75" hidden="false" customHeight="true" outlineLevel="0" collapsed="false">
      <c r="C110" s="21" t="n">
        <f aca="false">calc!$D$110</f>
        <v>19</v>
      </c>
      <c r="D110" s="21" t="n">
        <f aca="false">calc!$E$110</f>
        <v>4</v>
      </c>
      <c r="E110" s="21" t="n">
        <v>109</v>
      </c>
      <c r="F110" s="98" t="n">
        <f aca="false">calc!$X$110</f>
        <v>238.623578387258</v>
      </c>
      <c r="G110" s="99" t="n">
        <f aca="false">IF(ABS(F110-F109)&lt;100,F110,"")</f>
        <v>238.623578387258</v>
      </c>
      <c r="H110" s="24" t="n">
        <f aca="false">calc!$Z$110</f>
        <v>-0.556835312343933</v>
      </c>
      <c r="M110" s="24" t="str">
        <f aca="false">IF(OR(K110="",L110=""),"",K110+L110)</f>
        <v/>
      </c>
    </row>
    <row r="111" customFormat="false" ht="17.75" hidden="false" customHeight="true" outlineLevel="0" collapsed="false">
      <c r="C111" s="21" t="n">
        <f aca="false">calc!$D$111</f>
        <v>20</v>
      </c>
      <c r="D111" s="21" t="n">
        <f aca="false">calc!$E$111</f>
        <v>4</v>
      </c>
      <c r="E111" s="21" t="n">
        <v>110</v>
      </c>
      <c r="F111" s="98" t="n">
        <f aca="false">calc!$X$111</f>
        <v>253.176672422939</v>
      </c>
      <c r="G111" s="99" t="n">
        <f aca="false">IF(ABS(F111-F110)&lt;100,F111,"")</f>
        <v>253.176672422939</v>
      </c>
      <c r="H111" s="24" t="n">
        <f aca="false">calc!$Z$111</f>
        <v>-1.85547636217574</v>
      </c>
      <c r="M111" s="24" t="str">
        <f aca="false">IF(OR(K111="",L111=""),"",K111+L111)</f>
        <v/>
      </c>
    </row>
    <row r="112" customFormat="false" ht="17.75" hidden="false" customHeight="true" outlineLevel="0" collapsed="false">
      <c r="C112" s="21" t="n">
        <f aca="false">calc!$D$112</f>
        <v>21</v>
      </c>
      <c r="D112" s="21" t="n">
        <f aca="false">calc!$E$112</f>
        <v>4</v>
      </c>
      <c r="E112" s="21" t="n">
        <v>111</v>
      </c>
      <c r="F112" s="98" t="n">
        <f aca="false">calc!$X$112</f>
        <v>267.684304751667</v>
      </c>
      <c r="G112" s="99" t="n">
        <f aca="false">IF(ABS(F112-F111)&lt;100,F112,"")</f>
        <v>267.684304751667</v>
      </c>
      <c r="H112" s="24" t="n">
        <f aca="false">calc!$Z$112</f>
        <v>-3.03116336050532</v>
      </c>
      <c r="M112" s="24" t="str">
        <f aca="false">IF(OR(K112="",L112=""),"",K112+L112)</f>
        <v/>
      </c>
    </row>
    <row r="113" customFormat="false" ht="17.75" hidden="false" customHeight="true" outlineLevel="0" collapsed="false">
      <c r="C113" s="21" t="n">
        <f aca="false">calc!$D$113</f>
        <v>22</v>
      </c>
      <c r="D113" s="21" t="n">
        <f aca="false">calc!$E$113</f>
        <v>4</v>
      </c>
      <c r="E113" s="21" t="n">
        <v>112</v>
      </c>
      <c r="F113" s="98" t="n">
        <f aca="false">calc!$X$113</f>
        <v>282.074137654908</v>
      </c>
      <c r="G113" s="99" t="n">
        <f aca="false">IF(ABS(F113-F112)&lt;100,F113,"")</f>
        <v>282.074137654908</v>
      </c>
      <c r="H113" s="24" t="n">
        <f aca="false">calc!$Z$113</f>
        <v>-4.00528767180807</v>
      </c>
      <c r="M113" s="24" t="str">
        <f aca="false">IF(OR(K113="",L113=""),"",K113+L113)</f>
        <v/>
      </c>
    </row>
    <row r="114" customFormat="false" ht="17.75" hidden="false" customHeight="true" outlineLevel="0" collapsed="false">
      <c r="C114" s="21" t="n">
        <f aca="false">calc!$D$114</f>
        <v>23</v>
      </c>
      <c r="D114" s="21" t="n">
        <f aca="false">calc!$E$114</f>
        <v>4</v>
      </c>
      <c r="E114" s="21" t="n">
        <v>113</v>
      </c>
      <c r="F114" s="98" t="n">
        <f aca="false">calc!$X$114</f>
        <v>296.295929581152</v>
      </c>
      <c r="G114" s="99" t="n">
        <f aca="false">IF(ABS(F114-F113)&lt;100,F114,"")</f>
        <v>296.295929581152</v>
      </c>
      <c r="H114" s="24" t="n">
        <f aca="false">calc!$Z$114</f>
        <v>-4.7202871215959</v>
      </c>
      <c r="M114" s="24" t="str">
        <f aca="false">IF(OR(K114="",L114=""),"",K114+L114)</f>
        <v/>
      </c>
    </row>
    <row r="115" customFormat="false" ht="17.75" hidden="false" customHeight="true" outlineLevel="0" collapsed="false">
      <c r="C115" s="21" t="n">
        <f aca="false">calc!$D$115</f>
        <v>24</v>
      </c>
      <c r="D115" s="21" t="n">
        <f aca="false">calc!$E$115</f>
        <v>4</v>
      </c>
      <c r="E115" s="21" t="n">
        <v>114</v>
      </c>
      <c r="F115" s="98" t="n">
        <f aca="false">calc!$X$115</f>
        <v>310.320134092572</v>
      </c>
      <c r="G115" s="99" t="n">
        <f aca="false">IF(ABS(F115-F114)&lt;100,F115,"")</f>
        <v>310.320134092572</v>
      </c>
      <c r="H115" s="24" t="n">
        <f aca="false">calc!$Z$115</f>
        <v>-5.14208310654591</v>
      </c>
      <c r="M115" s="24" t="str">
        <f aca="false">IF(OR(K115="",L115=""),"",K115+L115)</f>
        <v/>
      </c>
    </row>
    <row r="116" customFormat="false" ht="17.75" hidden="false" customHeight="true" outlineLevel="0" collapsed="false">
      <c r="C116" s="21" t="n">
        <f aca="false">calc!$D$116</f>
        <v>25</v>
      </c>
      <c r="D116" s="21" t="n">
        <f aca="false">calc!$E$116</f>
        <v>4</v>
      </c>
      <c r="E116" s="21" t="n">
        <v>115</v>
      </c>
      <c r="F116" s="98" t="n">
        <f aca="false">calc!$X$116</f>
        <v>324.132320171007</v>
      </c>
      <c r="G116" s="99" t="n">
        <f aca="false">IF(ABS(F116-F115)&lt;100,F116,"")</f>
        <v>324.132320171007</v>
      </c>
      <c r="H116" s="24" t="n">
        <f aca="false">calc!$Z$116</f>
        <v>-5.25888351964038</v>
      </c>
      <c r="M116" s="24" t="str">
        <f aca="false">IF(OR(K116="",L116=""),"",K116+L116)</f>
        <v/>
      </c>
    </row>
    <row r="117" customFormat="false" ht="17.75" hidden="false" customHeight="true" outlineLevel="0" collapsed="false">
      <c r="C117" s="21" t="n">
        <f aca="false">calc!$D$117</f>
        <v>26</v>
      </c>
      <c r="D117" s="21" t="n">
        <f aca="false">calc!$E$117</f>
        <v>4</v>
      </c>
      <c r="E117" s="21" t="n">
        <v>116</v>
      </c>
      <c r="F117" s="98" t="n">
        <f aca="false">calc!$X$117</f>
        <v>337.726064092097</v>
      </c>
      <c r="G117" s="99" t="n">
        <f aca="false">IF(ABS(F117-F116)&lt;100,F117,"")</f>
        <v>337.726064092097</v>
      </c>
      <c r="H117" s="24" t="n">
        <f aca="false">calc!$Z$117</f>
        <v>-5.07826692813168</v>
      </c>
      <c r="M117" s="24" t="str">
        <f aca="false">IF(OR(K117="",L117=""),"",K117+L117)</f>
        <v/>
      </c>
    </row>
    <row r="118" customFormat="false" ht="17.75" hidden="false" customHeight="true" outlineLevel="0" collapsed="false">
      <c r="C118" s="21" t="n">
        <f aca="false">calc!$D$118</f>
        <v>27</v>
      </c>
      <c r="D118" s="21" t="n">
        <f aca="false">calc!$E$118</f>
        <v>4</v>
      </c>
      <c r="E118" s="21" t="n">
        <v>117</v>
      </c>
      <c r="F118" s="98" t="n">
        <f aca="false">calc!$X$118</f>
        <v>351.09709982939</v>
      </c>
      <c r="G118" s="99" t="n">
        <f aca="false">IF(ABS(F118-F117)&lt;100,F118,"")</f>
        <v>351.09709982939</v>
      </c>
      <c r="H118" s="24" t="n">
        <f aca="false">calc!$Z$118</f>
        <v>-4.62396460737025</v>
      </c>
      <c r="M118" s="24" t="str">
        <f aca="false">IF(OR(K118="",L118=""),"",K118+L118)</f>
        <v/>
      </c>
    </row>
    <row r="119" customFormat="false" ht="17.75" hidden="false" customHeight="true" outlineLevel="0" collapsed="false">
      <c r="C119" s="21" t="n">
        <f aca="false">calc!$D$119</f>
        <v>28</v>
      </c>
      <c r="D119" s="21" t="n">
        <f aca="false">calc!$E$119</f>
        <v>4</v>
      </c>
      <c r="E119" s="21" t="n">
        <v>118</v>
      </c>
      <c r="F119" s="98" t="n">
        <f aca="false">calc!$X$119</f>
        <v>4.24064604967548</v>
      </c>
      <c r="G119" s="99" t="str">
        <f aca="false">IF(ABS(F119-F118)&lt;100,F119,"")</f>
        <v/>
      </c>
      <c r="H119" s="24" t="n">
        <f aca="false">calc!$Z$119</f>
        <v>-3.9327825182659</v>
      </c>
      <c r="M119" s="24" t="str">
        <f aca="false">IF(OR(K119="",L119=""),"",K119+L119)</f>
        <v/>
      </c>
    </row>
    <row r="120" customFormat="false" ht="17.75" hidden="false" customHeight="true" outlineLevel="0" collapsed="false">
      <c r="C120" s="21" t="n">
        <f aca="false">calc!$D$120</f>
        <v>29</v>
      </c>
      <c r="D120" s="21" t="n">
        <f aca="false">calc!$E$120</f>
        <v>4</v>
      </c>
      <c r="E120" s="21" t="n">
        <v>119</v>
      </c>
      <c r="F120" s="98" t="n">
        <f aca="false">calc!$X$120</f>
        <v>17.1523540765097</v>
      </c>
      <c r="G120" s="99" t="n">
        <f aca="false">IF(ABS(F120-F119)&lt;100,F120,"")</f>
        <v>17.1523540765097</v>
      </c>
      <c r="H120" s="24" t="n">
        <f aca="false">calc!$Z$120</f>
        <v>-3.05142645936851</v>
      </c>
      <c r="M120" s="24" t="str">
        <f aca="false">IF(OR(K120="",L120=""),"",K120+L120)</f>
        <v/>
      </c>
    </row>
    <row r="121" customFormat="false" ht="17.75" hidden="false" customHeight="true" outlineLevel="0" collapsed="false">
      <c r="C121" s="21" t="n">
        <f aca="false">calc!$D$121</f>
        <v>30</v>
      </c>
      <c r="D121" s="21" t="n">
        <f aca="false">calc!$E$121</f>
        <v>4</v>
      </c>
      <c r="E121" s="21" t="n">
        <v>120</v>
      </c>
      <c r="F121" s="98" t="n">
        <f aca="false">calc!$X$121</f>
        <v>29.8318569567601</v>
      </c>
      <c r="G121" s="99" t="n">
        <f aca="false">IF(ABS(F121-F120)&lt;100,F121,"")</f>
        <v>29.8318569567601</v>
      </c>
      <c r="H121" s="24" t="n">
        <f aca="false">calc!$Z$121</f>
        <v>-2.03294336775814</v>
      </c>
      <c r="M121" s="24" t="str">
        <f aca="false">IF(OR(K121="",L121=""),"",K121+L121)</f>
        <v/>
      </c>
    </row>
    <row r="122" customFormat="false" ht="17.75" hidden="false" customHeight="true" outlineLevel="0" collapsed="false">
      <c r="C122" s="21" t="n">
        <f aca="false">calc!$D$122</f>
        <v>1</v>
      </c>
      <c r="D122" s="21" t="n">
        <f aca="false">calc!$E$122</f>
        <v>5</v>
      </c>
      <c r="E122" s="21" t="n">
        <v>121</v>
      </c>
      <c r="F122" s="98" t="n">
        <f aca="false">calc!$X$122</f>
        <v>42.2870180574613</v>
      </c>
      <c r="G122" s="99" t="n">
        <f aca="false">IF(ABS(F122-F121)&lt;100,F122,"")</f>
        <v>42.2870180574613</v>
      </c>
      <c r="H122" s="24" t="n">
        <f aca="false">calc!$Z$122</f>
        <v>-0.932889830262057</v>
      </c>
      <c r="M122" s="24" t="str">
        <f aca="false">IF(OR(K122="",L122=""),"",K122+L122)</f>
        <v/>
      </c>
    </row>
    <row r="123" customFormat="false" ht="17.75" hidden="false" customHeight="true" outlineLevel="0" collapsed="false">
      <c r="C123" s="21" t="n">
        <f aca="false">calc!$D$123</f>
        <v>2</v>
      </c>
      <c r="D123" s="21" t="n">
        <f aca="false">calc!$E$123</f>
        <v>5</v>
      </c>
      <c r="E123" s="21" t="n">
        <v>122</v>
      </c>
      <c r="F123" s="98" t="n">
        <f aca="false">calc!$X$123</f>
        <v>54.5369793858275</v>
      </c>
      <c r="G123" s="99" t="n">
        <f aca="false">IF(ABS(F123-F122)&lt;100,F123,"")</f>
        <v>54.5369793858275</v>
      </c>
      <c r="H123" s="24" t="n">
        <f aca="false">calc!$Z$123</f>
        <v>0.194253893054818</v>
      </c>
      <c r="M123" s="24" t="str">
        <f aca="false">IF(OR(K123="",L123=""),"",K123+L123)</f>
        <v/>
      </c>
    </row>
    <row r="124" customFormat="false" ht="17.75" hidden="false" customHeight="true" outlineLevel="0" collapsed="false">
      <c r="C124" s="21" t="n">
        <f aca="false">calc!$D$124</f>
        <v>3</v>
      </c>
      <c r="D124" s="21" t="n">
        <f aca="false">calc!$E$124</f>
        <v>5</v>
      </c>
      <c r="E124" s="21" t="n">
        <v>123</v>
      </c>
      <c r="F124" s="98" t="n">
        <f aca="false">calc!$X$124</f>
        <v>66.6129109668901</v>
      </c>
      <c r="G124" s="99" t="n">
        <f aca="false">IF(ABS(F124-F123)&lt;100,F124,"")</f>
        <v>66.6129109668901</v>
      </c>
      <c r="H124" s="24" t="n">
        <f aca="false">calc!$Z$124</f>
        <v>1.29782789551834</v>
      </c>
      <c r="M124" s="24" t="str">
        <f aca="false">IF(OR(K124="",L124=""),"",K124+L124)</f>
        <v/>
      </c>
    </row>
    <row r="125" customFormat="false" ht="17.75" hidden="false" customHeight="true" outlineLevel="0" collapsed="false">
      <c r="C125" s="21" t="n">
        <f aca="false">calc!$D$125</f>
        <v>4</v>
      </c>
      <c r="D125" s="21" t="n">
        <f aca="false">calc!$E$125</f>
        <v>5</v>
      </c>
      <c r="E125" s="21" t="n">
        <v>124</v>
      </c>
      <c r="F125" s="98" t="n">
        <f aca="false">calc!$X$125</f>
        <v>78.5565440520054</v>
      </c>
      <c r="G125" s="99" t="n">
        <f aca="false">IF(ABS(F125-F124)&lt;100,F125,"")</f>
        <v>78.5565440520054</v>
      </c>
      <c r="H125" s="24" t="n">
        <f aca="false">calc!$Z$125</f>
        <v>2.33257242261966</v>
      </c>
      <c r="M125" s="24" t="str">
        <f aca="false">IF(OR(K125="",L125=""),"",K125+L125)</f>
        <v/>
      </c>
    </row>
    <row r="126" customFormat="false" ht="17.75" hidden="false" customHeight="true" outlineLevel="0" collapsed="false">
      <c r="C126" s="21" t="n">
        <f aca="false">calc!$D$126</f>
        <v>5</v>
      </c>
      <c r="D126" s="21" t="n">
        <f aca="false">calc!$E$126</f>
        <v>5</v>
      </c>
      <c r="E126" s="21" t="n">
        <v>125</v>
      </c>
      <c r="F126" s="98" t="n">
        <f aca="false">calc!$X$126</f>
        <v>90.4175684566398</v>
      </c>
      <c r="G126" s="99" t="n">
        <f aca="false">IF(ABS(F126-F125)&lt;100,F126,"")</f>
        <v>90.4175684566398</v>
      </c>
      <c r="H126" s="24" t="n">
        <f aca="false">calc!$Z$126</f>
        <v>3.25911206785966</v>
      </c>
      <c r="M126" s="24" t="str">
        <f aca="false">IF(OR(K126="",L126=""),"",K126+L126)</f>
        <v/>
      </c>
    </row>
    <row r="127" customFormat="false" ht="17.75" hidden="false" customHeight="true" outlineLevel="0" collapsed="false">
      <c r="C127" s="21" t="n">
        <f aca="false">calc!$D$127</f>
        <v>6</v>
      </c>
      <c r="D127" s="21" t="n">
        <f aca="false">calc!$E$127</f>
        <v>5</v>
      </c>
      <c r="E127" s="21" t="n">
        <v>126</v>
      </c>
      <c r="F127" s="98" t="n">
        <f aca="false">calc!$X$127</f>
        <v>102.251326982571</v>
      </c>
      <c r="G127" s="99" t="n">
        <f aca="false">IF(ABS(F127-F126)&lt;100,F127,"")</f>
        <v>102.251326982571</v>
      </c>
      <c r="H127" s="24" t="n">
        <f aca="false">calc!$Z$127</f>
        <v>4.04366086916577</v>
      </c>
      <c r="M127" s="24" t="str">
        <f aca="false">IF(OR(K127="",L127=""),"",K127+L127)</f>
        <v/>
      </c>
    </row>
    <row r="128" customFormat="false" ht="17.75" hidden="false" customHeight="true" outlineLevel="0" collapsed="false">
      <c r="C128" s="21" t="n">
        <f aca="false">calc!$D$128</f>
        <v>7</v>
      </c>
      <c r="D128" s="21" t="n">
        <f aca="false">calc!$E$128</f>
        <v>5</v>
      </c>
      <c r="E128" s="21" t="n">
        <v>127</v>
      </c>
      <c r="F128" s="98" t="n">
        <f aca="false">calc!$X$128</f>
        <v>114.117791524884</v>
      </c>
      <c r="G128" s="99" t="n">
        <f aca="false">IF(ABS(F128-F127)&lt;100,F128,"")</f>
        <v>114.117791524884</v>
      </c>
      <c r="H128" s="24" t="n">
        <f aca="false">calc!$Z$128</f>
        <v>4.65728728820167</v>
      </c>
      <c r="M128" s="24" t="str">
        <f aca="false">IF(OR(K128="",L128=""),"",K128+L128)</f>
        <v/>
      </c>
    </row>
    <row r="129" customFormat="false" ht="17.75" hidden="false" customHeight="true" outlineLevel="0" collapsed="false">
      <c r="C129" s="21" t="n">
        <f aca="false">calc!$D$129</f>
        <v>8</v>
      </c>
      <c r="D129" s="21" t="n">
        <f aca="false">calc!$E$129</f>
        <v>5</v>
      </c>
      <c r="E129" s="21" t="n">
        <v>128</v>
      </c>
      <c r="F129" s="98" t="n">
        <f aca="false">calc!$X$129</f>
        <v>126.081774081067</v>
      </c>
      <c r="G129" s="99" t="n">
        <f aca="false">IF(ABS(F129-F128)&lt;100,F129,"")</f>
        <v>126.081774081067</v>
      </c>
      <c r="H129" s="24" t="n">
        <f aca="false">calc!$Z$129</f>
        <v>5.07499723661054</v>
      </c>
      <c r="M129" s="24" t="str">
        <f aca="false">IF(OR(K129="",L129=""),"",K129+L129)</f>
        <v/>
      </c>
    </row>
    <row r="130" customFormat="false" ht="17.75" hidden="false" customHeight="true" outlineLevel="0" collapsed="false">
      <c r="C130" s="21" t="n">
        <f aca="false">calc!$D$130</f>
        <v>9</v>
      </c>
      <c r="D130" s="21" t="n">
        <f aca="false">calc!$E$130</f>
        <v>5</v>
      </c>
      <c r="E130" s="21" t="n">
        <v>129</v>
      </c>
      <c r="F130" s="98" t="n">
        <f aca="false">calc!$X$130</f>
        <v>138.213210720189</v>
      </c>
      <c r="G130" s="99" t="n">
        <f aca="false">IF(ABS(F130-F129)&lt;100,F130,"")</f>
        <v>138.213210720189</v>
      </c>
      <c r="H130" s="24" t="n">
        <f aca="false">calc!$Z$130</f>
        <v>5.27490317409464</v>
      </c>
      <c r="M130" s="24" t="str">
        <f aca="false">IF(OR(K130="",L130=""),"",K130+L130)</f>
        <v/>
      </c>
    </row>
    <row r="131" customFormat="false" ht="17.75" hidden="false" customHeight="true" outlineLevel="0" collapsed="false">
      <c r="C131" s="21" t="n">
        <f aca="false">calc!$D$131</f>
        <v>10</v>
      </c>
      <c r="D131" s="21" t="n">
        <f aca="false">calc!$E$131</f>
        <v>5</v>
      </c>
      <c r="E131" s="21" t="n">
        <v>130</v>
      </c>
      <c r="F131" s="98" t="n">
        <f aca="false">calc!$X$131</f>
        <v>150.58572147404</v>
      </c>
      <c r="G131" s="99" t="n">
        <f aca="false">IF(ABS(F131-F130)&lt;100,F131,"")</f>
        <v>150.58572147404</v>
      </c>
      <c r="H131" s="24" t="n">
        <f aca="false">calc!$Z$131</f>
        <v>5.23793857811493</v>
      </c>
      <c r="M131" s="24" t="str">
        <f aca="false">IF(OR(K131="",L131=""),"",K131+L131)</f>
        <v/>
      </c>
    </row>
    <row r="132" customFormat="false" ht="17.75" hidden="false" customHeight="true" outlineLevel="0" collapsed="false">
      <c r="C132" s="21" t="n">
        <f aca="false">calc!$D$132</f>
        <v>11</v>
      </c>
      <c r="D132" s="21" t="n">
        <f aca="false">calc!$E$132</f>
        <v>5</v>
      </c>
      <c r="E132" s="21" t="n">
        <v>131</v>
      </c>
      <c r="F132" s="98" t="n">
        <f aca="false">calc!$X$132</f>
        <v>163.271872841675</v>
      </c>
      <c r="G132" s="99" t="n">
        <f aca="false">IF(ABS(F132-F131)&lt;100,F132,"")</f>
        <v>163.271872841675</v>
      </c>
      <c r="H132" s="24" t="n">
        <f aca="false">calc!$Z$132</f>
        <v>4.94883779185064</v>
      </c>
      <c r="M132" s="24" t="str">
        <f aca="false">IF(OR(K132="",L132=""),"",K132+L132)</f>
        <v/>
      </c>
    </row>
    <row r="133" customFormat="false" ht="17.75" hidden="false" customHeight="true" outlineLevel="0" collapsed="false">
      <c r="C133" s="21" t="n">
        <f aca="false">calc!$D$133</f>
        <v>12</v>
      </c>
      <c r="D133" s="21" t="n">
        <f aca="false">calc!$E$133</f>
        <v>5</v>
      </c>
      <c r="E133" s="21" t="n">
        <v>132</v>
      </c>
      <c r="F133" s="98" t="n">
        <f aca="false">calc!$X$133</f>
        <v>176.33466884259</v>
      </c>
      <c r="G133" s="99" t="n">
        <f aca="false">IF(ABS(F133-F132)&lt;100,F133,"")</f>
        <v>176.33466884259</v>
      </c>
      <c r="H133" s="24" t="n">
        <f aca="false">calc!$Z$133</f>
        <v>4.39914565104033</v>
      </c>
      <c r="M133" s="24" t="str">
        <f aca="false">IF(OR(K133="",L133=""),"",K133+L133)</f>
        <v/>
      </c>
    </row>
    <row r="134" customFormat="false" ht="17.75" hidden="false" customHeight="true" outlineLevel="0" collapsed="false">
      <c r="C134" s="21" t="n">
        <f aca="false">calc!$D$134</f>
        <v>13</v>
      </c>
      <c r="D134" s="21" t="n">
        <f aca="false">calc!$E$134</f>
        <v>5</v>
      </c>
      <c r="E134" s="21" t="n">
        <v>133</v>
      </c>
      <c r="F134" s="98" t="n">
        <f aca="false">calc!$X$134</f>
        <v>189.816398223673</v>
      </c>
      <c r="G134" s="99" t="n">
        <f aca="false">IF(ABS(F134-F133)&lt;100,F134,"")</f>
        <v>189.816398223673</v>
      </c>
      <c r="H134" s="24" t="n">
        <f aca="false">calc!$Z$134</f>
        <v>3.59253442688642</v>
      </c>
      <c r="M134" s="24" t="str">
        <f aca="false">IF(OR(K134="",L134=""),"",K134+L134)</f>
        <v/>
      </c>
    </row>
    <row r="135" customFormat="false" ht="17.75" hidden="false" customHeight="true" outlineLevel="0" collapsed="false">
      <c r="C135" s="21" t="n">
        <f aca="false">calc!$D$135</f>
        <v>14</v>
      </c>
      <c r="D135" s="21" t="n">
        <f aca="false">calc!$E$135</f>
        <v>5</v>
      </c>
      <c r="E135" s="21" t="n">
        <v>134</v>
      </c>
      <c r="F135" s="98" t="n">
        <f aca="false">calc!$X$135</f>
        <v>203.72744349184</v>
      </c>
      <c r="G135" s="99" t="n">
        <f aca="false">IF(ABS(F135-F134)&lt;100,F135,"")</f>
        <v>203.72744349184</v>
      </c>
      <c r="H135" s="24" t="n">
        <f aca="false">calc!$Z$135</f>
        <v>2.55156808466704</v>
      </c>
      <c r="M135" s="24" t="str">
        <f aca="false">IF(OR(K135="",L135=""),"",K135+L135)</f>
        <v/>
      </c>
    </row>
    <row r="136" customFormat="false" ht="17.75" hidden="false" customHeight="true" outlineLevel="0" collapsed="false">
      <c r="C136" s="21" t="n">
        <f aca="false">calc!$D$136</f>
        <v>15</v>
      </c>
      <c r="D136" s="21" t="n">
        <f aca="false">calc!$E$136</f>
        <v>5</v>
      </c>
      <c r="E136" s="21" t="n">
        <v>135</v>
      </c>
      <c r="F136" s="98" t="n">
        <f aca="false">calc!$X$136</f>
        <v>218.038381255939</v>
      </c>
      <c r="G136" s="99" t="n">
        <f aca="false">IF(ABS(F136-F135)&lt;100,F136,"")</f>
        <v>218.038381255939</v>
      </c>
      <c r="H136" s="24" t="n">
        <f aca="false">calc!$Z$136</f>
        <v>1.32358634001575</v>
      </c>
      <c r="M136" s="24" t="str">
        <f aca="false">IF(OR(K136="",L136=""),"",K136+L136)</f>
        <v/>
      </c>
    </row>
    <row r="137" customFormat="false" ht="17.75" hidden="false" customHeight="true" outlineLevel="0" collapsed="false">
      <c r="C137" s="21" t="n">
        <f aca="false">calc!$D$137</f>
        <v>16</v>
      </c>
      <c r="D137" s="21" t="n">
        <f aca="false">calc!$E$137</f>
        <v>5</v>
      </c>
      <c r="E137" s="21" t="n">
        <v>136</v>
      </c>
      <c r="F137" s="98" t="n">
        <f aca="false">calc!$X$137</f>
        <v>232.678297351215</v>
      </c>
      <c r="G137" s="99" t="n">
        <f aca="false">IF(ABS(F137-F136)&lt;100,F137,"")</f>
        <v>232.678297351215</v>
      </c>
      <c r="H137" s="24" t="n">
        <f aca="false">calc!$Z$137</f>
        <v>-0.0175664241665054</v>
      </c>
      <c r="M137" s="24" t="str">
        <f aca="false">IF(OR(K137="",L137=""),"",K137+L137)</f>
        <v/>
      </c>
    </row>
    <row r="138" customFormat="false" ht="17.75" hidden="false" customHeight="true" outlineLevel="0" collapsed="false">
      <c r="C138" s="21" t="n">
        <f aca="false">calc!$D$138</f>
        <v>17</v>
      </c>
      <c r="D138" s="21" t="n">
        <f aca="false">calc!$E$138</f>
        <v>5</v>
      </c>
      <c r="E138" s="21" t="n">
        <v>137</v>
      </c>
      <c r="F138" s="98" t="n">
        <f aca="false">calc!$X$138</f>
        <v>247.540748500392</v>
      </c>
      <c r="G138" s="99" t="n">
        <f aca="false">IF(ABS(F138-F137)&lt;100,F138,"")</f>
        <v>247.540748500392</v>
      </c>
      <c r="H138" s="24" t="n">
        <f aca="false">calc!$Z$138</f>
        <v>-1.37664428731431</v>
      </c>
      <c r="M138" s="24" t="str">
        <f aca="false">IF(OR(K138="",L138=""),"",K138+L138)</f>
        <v/>
      </c>
    </row>
    <row r="139" customFormat="false" ht="17.75" hidden="false" customHeight="true" outlineLevel="0" collapsed="false">
      <c r="C139" s="21" t="n">
        <f aca="false">calc!$D$139</f>
        <v>18</v>
      </c>
      <c r="D139" s="21" t="n">
        <f aca="false">calc!$E$139</f>
        <v>5</v>
      </c>
      <c r="E139" s="21" t="n">
        <v>138</v>
      </c>
      <c r="F139" s="98" t="n">
        <f aca="false">calc!$X$139</f>
        <v>262.496689060739</v>
      </c>
      <c r="G139" s="99" t="n">
        <f aca="false">IF(ABS(F139-F138)&lt;100,F139,"")</f>
        <v>262.496689060739</v>
      </c>
      <c r="H139" s="24" t="n">
        <f aca="false">calc!$Z$139</f>
        <v>-2.64911955145883</v>
      </c>
      <c r="M139" s="24" t="str">
        <f aca="false">IF(OR(K139="",L139=""),"",K139+L139)</f>
        <v/>
      </c>
    </row>
    <row r="140" customFormat="false" ht="17.75" hidden="false" customHeight="true" outlineLevel="0" collapsed="false">
      <c r="C140" s="21" t="n">
        <f aca="false">calc!$D$140</f>
        <v>19</v>
      </c>
      <c r="D140" s="21" t="n">
        <f aca="false">calc!$E$140</f>
        <v>5</v>
      </c>
      <c r="E140" s="21" t="n">
        <v>139</v>
      </c>
      <c r="F140" s="98" t="n">
        <f aca="false">calc!$X$140</f>
        <v>277.411664197781</v>
      </c>
      <c r="G140" s="99" t="n">
        <f aca="false">IF(ABS(F140-F139)&lt;100,F140,"")</f>
        <v>277.411664197781</v>
      </c>
      <c r="H140" s="24" t="n">
        <f aca="false">calc!$Z$140</f>
        <v>-3.73717135486962</v>
      </c>
      <c r="M140" s="24" t="str">
        <f aca="false">IF(OR(K140="",L140=""),"",K140+L140)</f>
        <v/>
      </c>
    </row>
    <row r="141" customFormat="false" ht="17.75" hidden="false" customHeight="true" outlineLevel="0" collapsed="false">
      <c r="C141" s="21" t="n">
        <f aca="false">calc!$D$141</f>
        <v>20</v>
      </c>
      <c r="D141" s="21" t="n">
        <f aca="false">calc!$E$141</f>
        <v>5</v>
      </c>
      <c r="E141" s="21" t="n">
        <v>140</v>
      </c>
      <c r="F141" s="98" t="n">
        <f aca="false">calc!$X$141</f>
        <v>292.163350785447</v>
      </c>
      <c r="G141" s="99" t="n">
        <f aca="false">IF(ABS(F141-F140)&lt;100,F141,"")</f>
        <v>292.163350785447</v>
      </c>
      <c r="H141" s="24" t="n">
        <f aca="false">calc!$Z$141</f>
        <v>-4.564297356929</v>
      </c>
      <c r="M141" s="24" t="str">
        <f aca="false">IF(OR(K141="",L141=""),"",K141+L141)</f>
        <v/>
      </c>
    </row>
    <row r="142" customFormat="false" ht="17.75" hidden="false" customHeight="true" outlineLevel="0" collapsed="false">
      <c r="C142" s="21" t="n">
        <f aca="false">calc!$D$142</f>
        <v>21</v>
      </c>
      <c r="D142" s="21" t="n">
        <f aca="false">calc!$E$142</f>
        <v>5</v>
      </c>
      <c r="E142" s="21" t="n">
        <v>141</v>
      </c>
      <c r="F142" s="98" t="n">
        <f aca="false">calc!$X$142</f>
        <v>306.655523499861</v>
      </c>
      <c r="G142" s="99" t="n">
        <f aca="false">IF(ABS(F142-F141)&lt;100,F142,"")</f>
        <v>306.655523499861</v>
      </c>
      <c r="H142" s="24" t="n">
        <f aca="false">calc!$Z$142</f>
        <v>-5.08395053458265</v>
      </c>
      <c r="M142" s="24" t="str">
        <f aca="false">IF(OR(K142="",L142=""),"",K142+L142)</f>
        <v/>
      </c>
    </row>
    <row r="143" customFormat="false" ht="17.75" hidden="false" customHeight="true" outlineLevel="0" collapsed="false">
      <c r="C143" s="21" t="n">
        <f aca="false">calc!$D$143</f>
        <v>22</v>
      </c>
      <c r="D143" s="21" t="n">
        <f aca="false">calc!$E$143</f>
        <v>5</v>
      </c>
      <c r="E143" s="21" t="n">
        <v>142</v>
      </c>
      <c r="F143" s="98" t="n">
        <f aca="false">calc!$X$143</f>
        <v>320.825715948145</v>
      </c>
      <c r="G143" s="99" t="n">
        <f aca="false">IF(ABS(F143-F142)&lt;100,F143,"")</f>
        <v>320.825715948145</v>
      </c>
      <c r="H143" s="24" t="n">
        <f aca="false">calc!$Z$143</f>
        <v>-5.28057804125969</v>
      </c>
      <c r="M143" s="24" t="str">
        <f aca="false">IF(OR(K143="",L143=""),"",K143+L143)</f>
        <v/>
      </c>
    </row>
    <row r="144" customFormat="false" ht="17.75" hidden="false" customHeight="true" outlineLevel="0" collapsed="false">
      <c r="C144" s="21" t="n">
        <f aca="false">calc!$D$144</f>
        <v>23</v>
      </c>
      <c r="D144" s="21" t="n">
        <f aca="false">calc!$E$144</f>
        <v>5</v>
      </c>
      <c r="E144" s="21" t="n">
        <v>143</v>
      </c>
      <c r="F144" s="98" t="n">
        <f aca="false">calc!$X$144</f>
        <v>334.645789732579</v>
      </c>
      <c r="G144" s="99" t="n">
        <f aca="false">IF(ABS(F144-F143)&lt;100,F144,"")</f>
        <v>334.645789732579</v>
      </c>
      <c r="H144" s="24" t="n">
        <f aca="false">calc!$Z$144</f>
        <v>-5.16472698927984</v>
      </c>
      <c r="M144" s="24" t="str">
        <f aca="false">IF(OR(K144="",L144=""),"",K144+L144)</f>
        <v/>
      </c>
    </row>
    <row r="145" customFormat="false" ht="17.75" hidden="false" customHeight="true" outlineLevel="0" collapsed="false">
      <c r="C145" s="21" t="n">
        <f aca="false">calc!$D$145</f>
        <v>24</v>
      </c>
      <c r="D145" s="21" t="n">
        <f aca="false">calc!$E$145</f>
        <v>5</v>
      </c>
      <c r="E145" s="21" t="n">
        <v>144</v>
      </c>
      <c r="F145" s="98" t="n">
        <f aca="false">calc!$X$145</f>
        <v>348.116624079538</v>
      </c>
      <c r="G145" s="99" t="n">
        <f aca="false">IF(ABS(F145-F144)&lt;100,F145,"")</f>
        <v>348.116624079538</v>
      </c>
      <c r="H145" s="24" t="n">
        <f aca="false">calc!$Z$145</f>
        <v>-4.76558134605814</v>
      </c>
      <c r="M145" s="24" t="str">
        <f aca="false">IF(OR(K145="",L145=""),"",K145+L145)</f>
        <v/>
      </c>
    </row>
    <row r="146" customFormat="false" ht="17.75" hidden="false" customHeight="true" outlineLevel="0" collapsed="false">
      <c r="C146" s="21" t="n">
        <f aca="false">calc!$D$146</f>
        <v>25</v>
      </c>
      <c r="D146" s="21" t="n">
        <f aca="false">calc!$E$146</f>
        <v>5</v>
      </c>
      <c r="E146" s="21" t="n">
        <v>145</v>
      </c>
      <c r="F146" s="98" t="n">
        <f aca="false">calc!$X$146</f>
        <v>1.25952089794399</v>
      </c>
      <c r="G146" s="99" t="str">
        <f aca="false">IF(ABS(F146-F145)&lt;100,F146,"")</f>
        <v/>
      </c>
      <c r="H146" s="24" t="n">
        <f aca="false">calc!$Z$146</f>
        <v>-4.12394365851817</v>
      </c>
      <c r="M146" s="24" t="str">
        <f aca="false">IF(OR(K146="",L146=""),"",K146+L146)</f>
        <v/>
      </c>
    </row>
    <row r="147" customFormat="false" ht="17.75" hidden="false" customHeight="true" outlineLevel="0" collapsed="false">
      <c r="C147" s="21" t="n">
        <f aca="false">calc!$D$147</f>
        <v>26</v>
      </c>
      <c r="D147" s="21" t="n">
        <f aca="false">calc!$E$147</f>
        <v>5</v>
      </c>
      <c r="E147" s="21" t="n">
        <v>146</v>
      </c>
      <c r="F147" s="98" t="n">
        <f aca="false">calc!$X$147</f>
        <v>14.1072825551605</v>
      </c>
      <c r="G147" s="99" t="n">
        <f aca="false">IF(ABS(F147-F146)&lt;100,F147,"")</f>
        <v>14.1072825551605</v>
      </c>
      <c r="H147" s="24" t="n">
        <f aca="false">calc!$Z$147</f>
        <v>-3.28714678640016</v>
      </c>
      <c r="M147" s="24" t="str">
        <f aca="false">IF(OR(K147="",L147=""),"",K147+L147)</f>
        <v/>
      </c>
    </row>
    <row r="148" customFormat="false" ht="17.75" hidden="false" customHeight="true" outlineLevel="0" collapsed="false">
      <c r="C148" s="21" t="n">
        <f aca="false">calc!$D$148</f>
        <v>27</v>
      </c>
      <c r="D148" s="21" t="n">
        <f aca="false">calc!$E$148</f>
        <v>5</v>
      </c>
      <c r="E148" s="21" t="n">
        <v>147</v>
      </c>
      <c r="F148" s="98" t="n">
        <f aca="false">calc!$X$148</f>
        <v>26.6972680804478</v>
      </c>
      <c r="G148" s="99" t="n">
        <f aca="false">IF(ABS(F148-F147)&lt;100,F148,"")</f>
        <v>26.6972680804478</v>
      </c>
      <c r="H148" s="24" t="n">
        <f aca="false">calc!$Z$148</f>
        <v>-2.30587833464353</v>
      </c>
      <c r="M148" s="24" t="str">
        <f aca="false">IF(OR(K148="",L148=""),"",K148+L148)</f>
        <v/>
      </c>
    </row>
    <row r="149" customFormat="false" ht="17.75" hidden="false" customHeight="true" outlineLevel="0" collapsed="false">
      <c r="C149" s="21" t="n">
        <f aca="false">calc!$D$149</f>
        <v>28</v>
      </c>
      <c r="D149" s="21" t="n">
        <f aca="false">calc!$E$149</f>
        <v>5</v>
      </c>
      <c r="E149" s="21" t="n">
        <v>148</v>
      </c>
      <c r="F149" s="98" t="n">
        <f aca="false">calc!$X$149</f>
        <v>39.0674516409723</v>
      </c>
      <c r="G149" s="99" t="n">
        <f aca="false">IF(ABS(F149-F148)&lt;100,F149,"")</f>
        <v>39.0674516409723</v>
      </c>
      <c r="H149" s="24" t="n">
        <f aca="false">calc!$Z$149</f>
        <v>-1.23213958857919</v>
      </c>
      <c r="M149" s="24" t="str">
        <f aca="false">IF(OR(K149="",L149=""),"",K149+L149)</f>
        <v/>
      </c>
    </row>
    <row r="150" customFormat="false" ht="17.75" hidden="false" customHeight="true" outlineLevel="0" collapsed="false">
      <c r="C150" s="21" t="n">
        <f aca="false">calc!$D$150</f>
        <v>29</v>
      </c>
      <c r="D150" s="21" t="n">
        <f aca="false">calc!$E$150</f>
        <v>5</v>
      </c>
      <c r="E150" s="21" t="n">
        <v>149</v>
      </c>
      <c r="F150" s="98" t="n">
        <f aca="false">calc!$X$150</f>
        <v>51.2551775643718</v>
      </c>
      <c r="G150" s="99" t="n">
        <f aca="false">IF(ABS(F150-F149)&lt;100,F150,"")</f>
        <v>51.2551775643718</v>
      </c>
      <c r="H150" s="24" t="n">
        <f aca="false">calc!$Z$150</f>
        <v>-0.117582879366761</v>
      </c>
      <c r="M150" s="24" t="str">
        <f aca="false">IF(OR(K150="",L150=""),"",K150+L150)</f>
        <v/>
      </c>
    </row>
    <row r="151" customFormat="false" ht="17.75" hidden="false" customHeight="true" outlineLevel="0" collapsed="false">
      <c r="C151" s="21" t="n">
        <f aca="false">calc!$D$151</f>
        <v>30</v>
      </c>
      <c r="D151" s="21" t="n">
        <f aca="false">calc!$E$151</f>
        <v>5</v>
      </c>
      <c r="E151" s="21" t="n">
        <v>150</v>
      </c>
      <c r="F151" s="98" t="n">
        <f aca="false">calc!$X$151</f>
        <v>63.2974603455852</v>
      </c>
      <c r="G151" s="99" t="n">
        <f aca="false">IF(ABS(F151-F150)&lt;100,F151,"")</f>
        <v>63.2974603455852</v>
      </c>
      <c r="H151" s="24" t="n">
        <f aca="false">calc!$Z$151</f>
        <v>0.988100170488519</v>
      </c>
      <c r="M151" s="24" t="str">
        <f aca="false">IF(OR(K151="",L151=""),"",K151+L151)</f>
        <v/>
      </c>
    </row>
    <row r="152" customFormat="false" ht="17.75" hidden="false" customHeight="true" outlineLevel="0" collapsed="false">
      <c r="C152" s="21" t="n">
        <f aca="false">calc!$D$152</f>
        <v>31</v>
      </c>
      <c r="D152" s="21" t="n">
        <f aca="false">calc!$E$152</f>
        <v>5</v>
      </c>
      <c r="E152" s="21" t="n">
        <v>151</v>
      </c>
      <c r="F152" s="98" t="n">
        <f aca="false">calc!$X$152</f>
        <v>75.2315804841383</v>
      </c>
      <c r="G152" s="99" t="n">
        <f aca="false">IF(ABS(F152-F151)&lt;100,F152,"")</f>
        <v>75.2315804841383</v>
      </c>
      <c r="H152" s="24" t="n">
        <f aca="false">calc!$Z$152</f>
        <v>2.03866511575553</v>
      </c>
      <c r="M152" s="24" t="str">
        <f aca="false">IF(OR(K152="",L152=""),"",K152+L152)</f>
        <v/>
      </c>
    </row>
    <row r="153" customFormat="false" ht="17.75" hidden="false" customHeight="true" outlineLevel="0" collapsed="false">
      <c r="C153" s="21" t="n">
        <f aca="false">calc!$D$153</f>
        <v>1</v>
      </c>
      <c r="D153" s="21" t="n">
        <f aca="false">calc!$E$153</f>
        <v>6</v>
      </c>
      <c r="E153" s="21" t="n">
        <v>152</v>
      </c>
      <c r="F153" s="98" t="n">
        <f aca="false">calc!$X$153</f>
        <v>87.0952822969911</v>
      </c>
      <c r="G153" s="99" t="n">
        <f aca="false">IF(ABS(F153-F152)&lt;100,F153,"")</f>
        <v>87.0952822969911</v>
      </c>
      <c r="H153" s="24" t="n">
        <f aca="false">calc!$Z$153</f>
        <v>2.99245953654991</v>
      </c>
      <c r="M153" s="24" t="str">
        <f aca="false">IF(OR(K153="",L153=""),"",K153+L153)</f>
        <v/>
      </c>
    </row>
    <row r="154" customFormat="false" ht="17.75" hidden="false" customHeight="true" outlineLevel="0" collapsed="false">
      <c r="C154" s="21" t="n">
        <f aca="false">calc!$D$154</f>
        <v>2</v>
      </c>
      <c r="D154" s="21" t="n">
        <f aca="false">calc!$E$154</f>
        <v>6</v>
      </c>
      <c r="E154" s="21" t="n">
        <v>153</v>
      </c>
      <c r="F154" s="98" t="n">
        <f aca="false">calc!$X$154</f>
        <v>98.9266982688588</v>
      </c>
      <c r="G154" s="99" t="n">
        <f aca="false">IF(ABS(F154-F153)&lt;100,F154,"")</f>
        <v>98.9266982688588</v>
      </c>
      <c r="H154" s="24" t="n">
        <f aca="false">calc!$Z$154</f>
        <v>3.81309980383893</v>
      </c>
      <c r="M154" s="24" t="str">
        <f aca="false">IF(OR(K154="",L154=""),"",K154+L154)</f>
        <v/>
      </c>
    </row>
    <row r="155" customFormat="false" ht="17.75" hidden="false" customHeight="true" outlineLevel="0" collapsed="false">
      <c r="C155" s="21" t="n">
        <f aca="false">calc!$D$155</f>
        <v>3</v>
      </c>
      <c r="D155" s="21" t="n">
        <f aca="false">calc!$E$155</f>
        <v>6</v>
      </c>
      <c r="E155" s="21" t="n">
        <v>154</v>
      </c>
      <c r="F155" s="98" t="n">
        <f aca="false">calc!$X$155</f>
        <v>110.764713996874</v>
      </c>
      <c r="G155" s="99" t="n">
        <f aca="false">IF(ABS(F155-F154)&lt;100,F155,"")</f>
        <v>110.764713996874</v>
      </c>
      <c r="H155" s="24" t="n">
        <f aca="false">calc!$Z$155</f>
        <v>4.4697017153972</v>
      </c>
      <c r="M155" s="24" t="str">
        <f aca="false">IF(OR(K155="",L155=""),"",K155+L155)</f>
        <v/>
      </c>
    </row>
    <row r="156" customFormat="false" ht="17.75" hidden="false" customHeight="true" outlineLevel="0" collapsed="false">
      <c r="C156" s="21" t="n">
        <f aca="false">calc!$D$156</f>
        <v>4</v>
      </c>
      <c r="D156" s="21" t="n">
        <f aca="false">calc!$E$156</f>
        <v>6</v>
      </c>
      <c r="E156" s="21" t="n">
        <v>155</v>
      </c>
      <c r="F156" s="98" t="n">
        <f aca="false">calc!$X$156</f>
        <v>122.650487760093</v>
      </c>
      <c r="G156" s="99" t="n">
        <f aca="false">IF(ABS(F156-F155)&lt;100,F156,"")</f>
        <v>122.650487760093</v>
      </c>
      <c r="H156" s="24" t="n">
        <f aca="false">calc!$Z$156</f>
        <v>4.93675874898994</v>
      </c>
      <c r="M156" s="24" t="str">
        <f aca="false">IF(OR(K156="",L156=""),"",K156+L156)</f>
        <v/>
      </c>
    </row>
    <row r="157" customFormat="false" ht="17.75" hidden="false" customHeight="true" outlineLevel="0" collapsed="false">
      <c r="C157" s="21" t="n">
        <f aca="false">calc!$D$157</f>
        <v>5</v>
      </c>
      <c r="D157" s="21" t="n">
        <f aca="false">calc!$E$157</f>
        <v>6</v>
      </c>
      <c r="E157" s="21" t="n">
        <v>156</v>
      </c>
      <c r="F157" s="98" t="n">
        <f aca="false">calc!$X$157</f>
        <v>134.630193046802</v>
      </c>
      <c r="G157" s="99" t="n">
        <f aca="false">IF(ABS(F157-F156)&lt;100,F157,"")</f>
        <v>134.630193046802</v>
      </c>
      <c r="H157" s="24" t="n">
        <f aca="false">calc!$Z$157</f>
        <v>5.19376740840318</v>
      </c>
      <c r="M157" s="24" t="str">
        <f aca="false">IF(OR(K157="",L157=""),"",K157+L157)</f>
        <v/>
      </c>
    </row>
    <row r="158" customFormat="false" ht="17.75" hidden="false" customHeight="true" outlineLevel="0" collapsed="false">
      <c r="C158" s="21" t="n">
        <f aca="false">calc!$D$158</f>
        <v>6</v>
      </c>
      <c r="D158" s="21" t="n">
        <f aca="false">calc!$E$158</f>
        <v>6</v>
      </c>
      <c r="E158" s="21" t="n">
        <v>157</v>
      </c>
      <c r="F158" s="98" t="n">
        <f aca="false">calc!$X$158</f>
        <v>146.758045430266</v>
      </c>
      <c r="G158" s="99" t="n">
        <f aca="false">IF(ABS(F158-F157)&lt;100,F158,"")</f>
        <v>146.758045430266</v>
      </c>
      <c r="H158" s="24" t="n">
        <f aca="false">calc!$Z$158</f>
        <v>5.22475772171411</v>
      </c>
      <c r="M158" s="24" t="str">
        <f aca="false">IF(OR(K158="",L158=""),"",K158+L158)</f>
        <v/>
      </c>
    </row>
    <row r="159" customFormat="false" ht="17.75" hidden="false" customHeight="true" outlineLevel="0" collapsed="false">
      <c r="C159" s="21" t="n">
        <f aca="false">calc!$D$159</f>
        <v>7</v>
      </c>
      <c r="D159" s="21" t="n">
        <f aca="false">calc!$E$159</f>
        <v>6</v>
      </c>
      <c r="E159" s="21" t="n">
        <v>158</v>
      </c>
      <c r="F159" s="98" t="n">
        <f aca="false">calc!$X$159</f>
        <v>159.097813504251</v>
      </c>
      <c r="G159" s="99" t="n">
        <f aca="false">IF(ABS(F159-F158)&lt;100,F159,"")</f>
        <v>159.097813504251</v>
      </c>
      <c r="H159" s="24" t="n">
        <f aca="false">calc!$Z$159</f>
        <v>5.01808838026788</v>
      </c>
      <c r="M159" s="24" t="str">
        <f aca="false">IF(OR(K159="",L159=""),"",K159+L159)</f>
        <v/>
      </c>
    </row>
    <row r="160" customFormat="false" ht="17.75" hidden="false" customHeight="true" outlineLevel="0" collapsed="false">
      <c r="C160" s="21" t="n">
        <f aca="false">calc!$D$160</f>
        <v>8</v>
      </c>
      <c r="D160" s="21" t="n">
        <f aca="false">calc!$E$160</f>
        <v>6</v>
      </c>
      <c r="E160" s="21" t="n">
        <v>159</v>
      </c>
      <c r="F160" s="98" t="n">
        <f aca="false">calc!$X$160</f>
        <v>171.720801356993</v>
      </c>
      <c r="G160" s="99" t="n">
        <f aca="false">IF(ABS(F160-F159)&lt;100,F160,"")</f>
        <v>171.720801356993</v>
      </c>
      <c r="H160" s="24" t="n">
        <f aca="false">calc!$Z$160</f>
        <v>4.56714633029515</v>
      </c>
      <c r="M160" s="24" t="str">
        <f aca="false">IF(OR(K160="",L160=""),"",K160+L160)</f>
        <v/>
      </c>
    </row>
    <row r="161" customFormat="false" ht="17.75" hidden="false" customHeight="true" outlineLevel="0" collapsed="false">
      <c r="C161" s="21" t="n">
        <f aca="false">calc!$D$161</f>
        <v>9</v>
      </c>
      <c r="D161" s="21" t="n">
        <f aca="false">calc!$E$161</f>
        <v>6</v>
      </c>
      <c r="E161" s="21" t="n">
        <v>160</v>
      </c>
      <c r="F161" s="98" t="n">
        <f aca="false">calc!$X$161</f>
        <v>184.698993880805</v>
      </c>
      <c r="G161" s="99" t="n">
        <f aca="false">IF(ABS(F161-F160)&lt;100,F161,"")</f>
        <v>184.698993880805</v>
      </c>
      <c r="H161" s="24" t="n">
        <f aca="false">calc!$Z$161</f>
        <v>3.87271175229072</v>
      </c>
      <c r="M161" s="24" t="str">
        <f aca="false">IF(OR(K161="",L161=""),"",K161+L161)</f>
        <v/>
      </c>
    </row>
    <row r="162" customFormat="false" ht="17.75" hidden="false" customHeight="true" outlineLevel="0" collapsed="false">
      <c r="C162" s="21" t="n">
        <f aca="false">calc!$D$162</f>
        <v>10</v>
      </c>
      <c r="D162" s="21" t="n">
        <f aca="false">calc!$E$162</f>
        <v>6</v>
      </c>
      <c r="E162" s="21" t="n">
        <v>161</v>
      </c>
      <c r="F162" s="98" t="n">
        <f aca="false">calc!$X$162</f>
        <v>198.093560919627</v>
      </c>
      <c r="G162" s="99" t="n">
        <f aca="false">IF(ABS(F162-F161)&lt;100,F162,"")</f>
        <v>198.093560919627</v>
      </c>
      <c r="H162" s="24" t="n">
        <f aca="false">calc!$Z$162</f>
        <v>2.94740395031527</v>
      </c>
      <c r="M162" s="24" t="str">
        <f aca="false">IF(OR(K162="",L162=""),"",K162+L162)</f>
        <v/>
      </c>
    </row>
    <row r="163" customFormat="false" ht="17.75" hidden="false" customHeight="true" outlineLevel="0" collapsed="false">
      <c r="C163" s="21" t="n">
        <f aca="false">calc!$D$163</f>
        <v>11</v>
      </c>
      <c r="D163" s="21" t="n">
        <f aca="false">calc!$E$163</f>
        <v>6</v>
      </c>
      <c r="E163" s="21" t="n">
        <v>162</v>
      </c>
      <c r="F163" s="98" t="n">
        <f aca="false">calc!$X$163</f>
        <v>211.940737645713</v>
      </c>
      <c r="G163" s="99" t="n">
        <f aca="false">IF(ABS(F163-F162)&lt;100,F163,"")</f>
        <v>211.940737645713</v>
      </c>
      <c r="H163" s="24" t="n">
        <f aca="false">calc!$Z$163</f>
        <v>1.82163288576028</v>
      </c>
      <c r="M163" s="24" t="str">
        <f aca="false">IF(OR(K163="",L163=""),"",K163+L163)</f>
        <v/>
      </c>
    </row>
    <row r="164" customFormat="false" ht="17.75" hidden="false" customHeight="true" outlineLevel="0" collapsed="false">
      <c r="C164" s="21" t="n">
        <f aca="false">calc!$D$164</f>
        <v>12</v>
      </c>
      <c r="D164" s="21" t="n">
        <f aca="false">calc!$E$164</f>
        <v>6</v>
      </c>
      <c r="E164" s="21" t="n">
        <v>163</v>
      </c>
      <c r="F164" s="98" t="n">
        <f aca="false">calc!$X$164</f>
        <v>226.238554438698</v>
      </c>
      <c r="G164" s="99" t="n">
        <f aca="false">IF(ABS(F164-F163)&lt;100,F164,"")</f>
        <v>226.238554438698</v>
      </c>
      <c r="H164" s="24" t="n">
        <f aca="false">calc!$Z$164</f>
        <v>0.54903529151516</v>
      </c>
      <c r="M164" s="24" t="str">
        <f aca="false">IF(OR(K164="",L164=""),"",K164+L164)</f>
        <v/>
      </c>
    </row>
    <row r="165" customFormat="false" ht="17.75" hidden="false" customHeight="true" outlineLevel="0" collapsed="false">
      <c r="C165" s="21" t="n">
        <f aca="false">calc!$D$165</f>
        <v>13</v>
      </c>
      <c r="D165" s="21" t="n">
        <f aca="false">calc!$E$165</f>
        <v>6</v>
      </c>
      <c r="E165" s="21" t="n">
        <v>164</v>
      </c>
      <c r="F165" s="98" t="n">
        <f aca="false">calc!$X$165</f>
        <v>240.938364300965</v>
      </c>
      <c r="G165" s="99" t="n">
        <f aca="false">IF(ABS(F165-F164)&lt;100,F165,"")</f>
        <v>240.938364300965</v>
      </c>
      <c r="H165" s="24" t="n">
        <f aca="false">calc!$Z$165</f>
        <v>-0.791802300617855</v>
      </c>
      <c r="M165" s="24" t="str">
        <f aca="false">IF(OR(K165="",L165=""),"",K165+L165)</f>
        <v/>
      </c>
    </row>
    <row r="166" customFormat="false" ht="17.75" hidden="false" customHeight="true" outlineLevel="0" collapsed="false">
      <c r="C166" s="21" t="n">
        <f aca="false">calc!$D$166</f>
        <v>14</v>
      </c>
      <c r="D166" s="21" t="n">
        <f aca="false">calc!$E$166</f>
        <v>6</v>
      </c>
      <c r="E166" s="21" t="n">
        <v>165</v>
      </c>
      <c r="F166" s="98" t="n">
        <f aca="false">calc!$X$166</f>
        <v>255.944313026261</v>
      </c>
      <c r="G166" s="99" t="n">
        <f aca="false">IF(ABS(F166-F165)&lt;100,F166,"")</f>
        <v>255.944313026261</v>
      </c>
      <c r="H166" s="24" t="n">
        <f aca="false">calc!$Z$166</f>
        <v>-2.1023572438209</v>
      </c>
      <c r="M166" s="24" t="str">
        <f aca="false">IF(OR(K166="",L166=""),"",K166+L166)</f>
        <v/>
      </c>
    </row>
    <row r="167" customFormat="false" ht="17.75" hidden="false" customHeight="true" outlineLevel="0" collapsed="false">
      <c r="C167" s="21" t="n">
        <f aca="false">calc!$D$167</f>
        <v>15</v>
      </c>
      <c r="D167" s="21" t="n">
        <f aca="false">calc!$E$167</f>
        <v>6</v>
      </c>
      <c r="E167" s="21" t="n">
        <v>166</v>
      </c>
      <c r="F167" s="98" t="n">
        <f aca="false">calc!$X$167</f>
        <v>271.121976799794</v>
      </c>
      <c r="G167" s="99" t="n">
        <f aca="false">IF(ABS(F167-F166)&lt;100,F167,"")</f>
        <v>271.121976799794</v>
      </c>
      <c r="H167" s="24" t="n">
        <f aca="false">calc!$Z$167</f>
        <v>-3.27672203830064</v>
      </c>
      <c r="M167" s="24" t="str">
        <f aca="false">IF(OR(K167="",L167=""),"",K167+L167)</f>
        <v/>
      </c>
    </row>
    <row r="168" customFormat="false" ht="17.75" hidden="false" customHeight="true" outlineLevel="0" collapsed="false">
      <c r="C168" s="21" t="n">
        <f aca="false">calc!$D$168</f>
        <v>16</v>
      </c>
      <c r="D168" s="21" t="n">
        <f aca="false">calc!$E$168</f>
        <v>6</v>
      </c>
      <c r="E168" s="21" t="n">
        <v>167</v>
      </c>
      <c r="F168" s="98" t="n">
        <f aca="false">calc!$X$168</f>
        <v>286.314932677776</v>
      </c>
      <c r="G168" s="99" t="n">
        <f aca="false">IF(ABS(F168-F167)&lt;100,F168,"")</f>
        <v>286.314932677776</v>
      </c>
      <c r="H168" s="24" t="n">
        <f aca="false">calc!$Z$168</f>
        <v>-4.21886963858372</v>
      </c>
      <c r="M168" s="24" t="str">
        <f aca="false">IF(OR(K168="",L168=""),"",K168+L168)</f>
        <v/>
      </c>
    </row>
    <row r="169" customFormat="false" ht="17.75" hidden="false" customHeight="true" outlineLevel="0" collapsed="false">
      <c r="C169" s="21" t="n">
        <f aca="false">calc!$D$169</f>
        <v>17</v>
      </c>
      <c r="D169" s="21" t="n">
        <f aca="false">calc!$E$169</f>
        <v>6</v>
      </c>
      <c r="E169" s="21" t="n">
        <v>168</v>
      </c>
      <c r="F169" s="98" t="n">
        <f aca="false">calc!$X$169</f>
        <v>301.365826439542</v>
      </c>
      <c r="G169" s="99" t="n">
        <f aca="false">IF(ABS(F169-F168)&lt;100,F169,"")</f>
        <v>301.365826439542</v>
      </c>
      <c r="H169" s="24" t="n">
        <f aca="false">calc!$Z$169</f>
        <v>-4.85890340043503</v>
      </c>
      <c r="M169" s="24" t="str">
        <f aca="false">IF(OR(K169="",L169=""),"",K169+L169)</f>
        <v/>
      </c>
    </row>
    <row r="170" customFormat="false" ht="17.75" hidden="false" customHeight="true" outlineLevel="0" collapsed="false">
      <c r="C170" s="21" t="n">
        <f aca="false">calc!$D$170</f>
        <v>18</v>
      </c>
      <c r="D170" s="21" t="n">
        <f aca="false">calc!$E$170</f>
        <v>6</v>
      </c>
      <c r="E170" s="21" t="n">
        <v>169</v>
      </c>
      <c r="F170" s="98" t="n">
        <f aca="false">calc!$X$170</f>
        <v>316.137285316882</v>
      </c>
      <c r="G170" s="99" t="n">
        <f aca="false">IF(ABS(F170-F169)&lt;100,F170,"")</f>
        <v>316.137285316882</v>
      </c>
      <c r="H170" s="24" t="n">
        <f aca="false">calc!$Z$170</f>
        <v>-5.16255104999251</v>
      </c>
      <c r="M170" s="24" t="str">
        <f aca="false">IF(OR(K170="",L170=""),"",K170+L170)</f>
        <v/>
      </c>
    </row>
    <row r="171" customFormat="false" ht="17.75" hidden="false" customHeight="true" outlineLevel="0" collapsed="false">
      <c r="C171" s="21" t="n">
        <f aca="false">calc!$D$171</f>
        <v>19</v>
      </c>
      <c r="D171" s="21" t="n">
        <f aca="false">calc!$E$171</f>
        <v>6</v>
      </c>
      <c r="E171" s="21" t="n">
        <v>170</v>
      </c>
      <c r="F171" s="98" t="n">
        <f aca="false">calc!$X$171</f>
        <v>330.528179152156</v>
      </c>
      <c r="G171" s="99" t="n">
        <f aca="false">IF(ABS(F171-F170)&lt;100,F171,"")</f>
        <v>330.528179152156</v>
      </c>
      <c r="H171" s="24" t="n">
        <f aca="false">calc!$Z$171</f>
        <v>-5.13131310685563</v>
      </c>
      <c r="M171" s="24" t="str">
        <f aca="false">IF(OR(K171="",L171=""),"",K171+L171)</f>
        <v/>
      </c>
    </row>
    <row r="172" customFormat="false" ht="17.75" hidden="false" customHeight="true" outlineLevel="0" collapsed="false">
      <c r="C172" s="21" t="n">
        <f aca="false">calc!$D$172</f>
        <v>20</v>
      </c>
      <c r="D172" s="21" t="n">
        <f aca="false">calc!$E$172</f>
        <v>6</v>
      </c>
      <c r="E172" s="21" t="n">
        <v>171</v>
      </c>
      <c r="F172" s="98" t="n">
        <f aca="false">calc!$X$172</f>
        <v>344.482176452476</v>
      </c>
      <c r="G172" s="99" t="n">
        <f aca="false">IF(ABS(F172-F171)&lt;100,F172,"")</f>
        <v>344.482176452476</v>
      </c>
      <c r="H172" s="24" t="n">
        <f aca="false">calc!$Z$172</f>
        <v>-4.79492249585939</v>
      </c>
      <c r="M172" s="24" t="str">
        <f aca="false">IF(OR(K172="",L172=""),"",K172+L172)</f>
        <v/>
      </c>
    </row>
    <row r="173" customFormat="false" ht="17.75" hidden="false" customHeight="true" outlineLevel="0" collapsed="false">
      <c r="C173" s="21" t="n">
        <f aca="false">calc!$D$173</f>
        <v>21</v>
      </c>
      <c r="D173" s="21" t="n">
        <f aca="false">calc!$E$173</f>
        <v>6</v>
      </c>
      <c r="E173" s="21" t="n">
        <v>172</v>
      </c>
      <c r="F173" s="98" t="n">
        <f aca="false">calc!$X$173</f>
        <v>357.987751152452</v>
      </c>
      <c r="G173" s="99" t="n">
        <f aca="false">IF(ABS(F173-F172)&lt;100,F173,"")</f>
        <v>357.987751152452</v>
      </c>
      <c r="H173" s="24" t="n">
        <f aca="false">calc!$Z$173</f>
        <v>-4.2004537313907</v>
      </c>
      <c r="M173" s="24" t="str">
        <f aca="false">IF(OR(K173="",L173=""),"",K173+L173)</f>
        <v/>
      </c>
    </row>
    <row r="174" customFormat="false" ht="17.75" hidden="false" customHeight="true" outlineLevel="0" collapsed="false">
      <c r="C174" s="21" t="n">
        <f aca="false">calc!$D$174</f>
        <v>22</v>
      </c>
      <c r="D174" s="21" t="n">
        <f aca="false">calc!$E$174</f>
        <v>6</v>
      </c>
      <c r="E174" s="21" t="n">
        <v>173</v>
      </c>
      <c r="F174" s="98" t="n">
        <f aca="false">calc!$X$174</f>
        <v>11.071019259918</v>
      </c>
      <c r="G174" s="99" t="str">
        <f aca="false">IF(ABS(F174-F173)&lt;100,F174,"")</f>
        <v/>
      </c>
      <c r="H174" s="24" t="n">
        <f aca="false">calc!$Z$174</f>
        <v>-3.40238791161151</v>
      </c>
      <c r="M174" s="24" t="str">
        <f aca="false">IF(OR(K174="",L174=""),"",K174+L174)</f>
        <v/>
      </c>
    </row>
    <row r="175" customFormat="false" ht="17.75" hidden="false" customHeight="true" outlineLevel="0" collapsed="false">
      <c r="C175" s="21" t="n">
        <f aca="false">calc!$D$175</f>
        <v>23</v>
      </c>
      <c r="D175" s="21" t="n">
        <f aca="false">calc!$E$175</f>
        <v>6</v>
      </c>
      <c r="E175" s="21" t="n">
        <v>174</v>
      </c>
      <c r="F175" s="98" t="n">
        <f aca="false">calc!$X$175</f>
        <v>23.7843198282792</v>
      </c>
      <c r="G175" s="99" t="n">
        <f aca="false">IF(ABS(F175-F174)&lt;100,F175,"")</f>
        <v>23.7843198282792</v>
      </c>
      <c r="H175" s="24" t="n">
        <f aca="false">calc!$Z$175</f>
        <v>-2.45600935993077</v>
      </c>
      <c r="M175" s="24" t="str">
        <f aca="false">IF(OR(K175="",L175=""),"",K175+L175)</f>
        <v/>
      </c>
    </row>
    <row r="176" customFormat="false" ht="17.75" hidden="false" customHeight="true" outlineLevel="0" collapsed="false">
      <c r="C176" s="21" t="n">
        <f aca="false">calc!$D$176</f>
        <v>24</v>
      </c>
      <c r="D176" s="21" t="n">
        <f aca="false">calc!$E$176</f>
        <v>6</v>
      </c>
      <c r="E176" s="21" t="n">
        <v>175</v>
      </c>
      <c r="F176" s="98" t="n">
        <f aca="false">calc!$X$176</f>
        <v>36.1939010033167</v>
      </c>
      <c r="G176" s="99" t="n">
        <f aca="false">IF(ABS(F176-F175)&lt;100,F176,"")</f>
        <v>36.1939010033167</v>
      </c>
      <c r="H176" s="24" t="n">
        <f aca="false">calc!$Z$176</f>
        <v>-1.41430294432425</v>
      </c>
      <c r="M176" s="24" t="str">
        <f aca="false">IF(OR(K176="",L176=""),"",K176+L176)</f>
        <v/>
      </c>
    </row>
    <row r="177" customFormat="false" ht="17.75" hidden="false" customHeight="true" outlineLevel="0" collapsed="false">
      <c r="C177" s="21" t="n">
        <f aca="false">calc!$D$177</f>
        <v>25</v>
      </c>
      <c r="D177" s="21" t="n">
        <f aca="false">calc!$E$177</f>
        <v>6</v>
      </c>
      <c r="E177" s="21" t="n">
        <v>176</v>
      </c>
      <c r="F177" s="98" t="n">
        <f aca="false">calc!$X$177</f>
        <v>48.3694528160985</v>
      </c>
      <c r="G177" s="99" t="n">
        <f aca="false">IF(ABS(F177-F176)&lt;100,F177,"")</f>
        <v>48.3694528160985</v>
      </c>
      <c r="H177" s="24" t="n">
        <f aca="false">calc!$Z$177</f>
        <v>-0.32717781775095</v>
      </c>
      <c r="M177" s="24" t="str">
        <f aca="false">IF(OR(K177="",L177=""),"",K177+L177)</f>
        <v/>
      </c>
    </row>
    <row r="178" customFormat="false" ht="17.75" hidden="false" customHeight="true" outlineLevel="0" collapsed="false">
      <c r="C178" s="21" t="n">
        <f aca="false">calc!$D$178</f>
        <v>26</v>
      </c>
      <c r="D178" s="21" t="n">
        <f aca="false">calc!$E$178</f>
        <v>6</v>
      </c>
      <c r="E178" s="21" t="n">
        <v>177</v>
      </c>
      <c r="F178" s="98" t="n">
        <f aca="false">calc!$X$178</f>
        <v>60.3769446093691</v>
      </c>
      <c r="G178" s="99" t="n">
        <f aca="false">IF(ABS(F178-F177)&lt;100,F178,"")</f>
        <v>60.3769446093691</v>
      </c>
      <c r="H178" s="24" t="n">
        <f aca="false">calc!$Z$178</f>
        <v>0.758406878690889</v>
      </c>
      <c r="M178" s="24" t="str">
        <f aca="false">IF(OR(K178="",L178=""),"",K178+L178)</f>
        <v/>
      </c>
    </row>
    <row r="179" customFormat="false" ht="17.75" hidden="false" customHeight="true" outlineLevel="0" collapsed="false">
      <c r="C179" s="21" t="n">
        <f aca="false">calc!$D$179</f>
        <v>27</v>
      </c>
      <c r="D179" s="21" t="n">
        <f aca="false">calc!$E$179</f>
        <v>6</v>
      </c>
      <c r="E179" s="21" t="n">
        <v>178</v>
      </c>
      <c r="F179" s="98" t="n">
        <f aca="false">calc!$X$179</f>
        <v>72.2748629458748</v>
      </c>
      <c r="G179" s="99" t="n">
        <f aca="false">IF(ABS(F179-F178)&lt;100,F179,"")</f>
        <v>72.2748629458748</v>
      </c>
      <c r="H179" s="24" t="n">
        <f aca="false">calc!$Z$179</f>
        <v>1.7983815088065</v>
      </c>
      <c r="M179" s="24" t="str">
        <f aca="false">IF(OR(K179="",L179=""),"",K179+L179)</f>
        <v/>
      </c>
    </row>
    <row r="180" customFormat="false" ht="17.75" hidden="false" customHeight="true" outlineLevel="0" collapsed="false">
      <c r="C180" s="21" t="n">
        <f aca="false">calc!$D$180</f>
        <v>28</v>
      </c>
      <c r="D180" s="21" t="n">
        <f aca="false">calc!$E$180</f>
        <v>6</v>
      </c>
      <c r="E180" s="21" t="n">
        <v>179</v>
      </c>
      <c r="F180" s="98" t="n">
        <f aca="false">calc!$X$180</f>
        <v>84.1130264197101</v>
      </c>
      <c r="G180" s="99" t="n">
        <f aca="false">IF(ABS(F180-F179)&lt;100,F180,"")</f>
        <v>84.1130264197101</v>
      </c>
      <c r="H180" s="24" t="n">
        <f aca="false">calc!$Z$180</f>
        <v>2.75190778611396</v>
      </c>
      <c r="M180" s="24" t="str">
        <f aca="false">IF(OR(K180="",L180=""),"",K180+L180)</f>
        <v/>
      </c>
    </row>
    <row r="181" customFormat="false" ht="17.75" hidden="false" customHeight="true" outlineLevel="0" collapsed="false">
      <c r="C181" s="21" t="n">
        <f aca="false">calc!$D$181</f>
        <v>29</v>
      </c>
      <c r="D181" s="21" t="n">
        <f aca="false">calc!$E$181</f>
        <v>6</v>
      </c>
      <c r="E181" s="21" t="n">
        <v>180</v>
      </c>
      <c r="F181" s="98" t="n">
        <f aca="false">calc!$X$181</f>
        <v>95.9329264216082</v>
      </c>
      <c r="G181" s="99" t="n">
        <f aca="false">IF(ABS(F181-F180)&lt;100,F181,"")</f>
        <v>95.9329264216082</v>
      </c>
      <c r="H181" s="24" t="n">
        <f aca="false">calc!$Z$181</f>
        <v>3.58202880324654</v>
      </c>
      <c r="M181" s="24" t="str">
        <f aca="false">IF(OR(K181="",L181=""),"",K181+L181)</f>
        <v/>
      </c>
    </row>
    <row r="182" customFormat="false" ht="17.75" hidden="false" customHeight="true" outlineLevel="0" collapsed="false">
      <c r="C182" s="21" t="n">
        <f aca="false">calc!$D$182</f>
        <v>30</v>
      </c>
      <c r="D182" s="21" t="n">
        <f aca="false">calc!$E$182</f>
        <v>6</v>
      </c>
      <c r="E182" s="21" t="n">
        <v>181</v>
      </c>
      <c r="F182" s="98" t="n">
        <f aca="false">calc!$X$182</f>
        <v>107.768908552665</v>
      </c>
      <c r="G182" s="99" t="n">
        <f aca="false">IF(ABS(F182-F181)&lt;100,F182,"")</f>
        <v>107.768908552665</v>
      </c>
      <c r="H182" s="24" t="n">
        <f aca="false">calc!$Z$182</f>
        <v>4.25640234586638</v>
      </c>
      <c r="M182" s="24" t="str">
        <f aca="false">IF(OR(K182="",L182=""),"",K182+L182)</f>
        <v/>
      </c>
    </row>
    <row r="183" customFormat="false" ht="17.75" hidden="false" customHeight="true" outlineLevel="0" collapsed="false">
      <c r="C183" s="21" t="n">
        <f aca="false">calc!$D$183</f>
        <v>1</v>
      </c>
      <c r="D183" s="21" t="n">
        <f aca="false">calc!$E$183</f>
        <v>7</v>
      </c>
      <c r="E183" s="21" t="n">
        <v>182</v>
      </c>
      <c r="F183" s="98" t="n">
        <f aca="false">calc!$X$183</f>
        <v>119.650099185482</v>
      </c>
      <c r="G183" s="99" t="n">
        <f aca="false">IF(ABS(F183-F182)&lt;100,F183,"")</f>
        <v>119.650099185482</v>
      </c>
      <c r="H183" s="24" t="n">
        <f aca="false">calc!$Z$183</f>
        <v>4.74795411865312</v>
      </c>
      <c r="M183" s="24" t="str">
        <f aca="false">IF(OR(K183="",L183=""),"",K183+L183)</f>
        <v/>
      </c>
    </row>
    <row r="184" customFormat="false" ht="17.75" hidden="false" customHeight="true" outlineLevel="0" collapsed="false">
      <c r="C184" s="21" t="n">
        <f aca="false">calc!$D$184</f>
        <v>2</v>
      </c>
      <c r="D184" s="21" t="n">
        <f aca="false">calc!$E$184</f>
        <v>7</v>
      </c>
      <c r="E184" s="21" t="n">
        <v>183</v>
      </c>
      <c r="F184" s="98" t="n">
        <f aca="false">calc!$X$184</f>
        <v>131.603351793067</v>
      </c>
      <c r="G184" s="99" t="n">
        <f aca="false">IF(ABS(F184-F183)&lt;100,F184,"")</f>
        <v>131.603351793067</v>
      </c>
      <c r="H184" s="24" t="n">
        <f aca="false">calc!$Z$184</f>
        <v>5.03537696850709</v>
      </c>
      <c r="M184" s="24" t="str">
        <f aca="false">IF(OR(K184="",L184=""),"",K184+L184)</f>
        <v/>
      </c>
    </row>
    <row r="185" customFormat="false" ht="17.75" hidden="false" customHeight="true" outlineLevel="0" collapsed="false">
      <c r="C185" s="21" t="n">
        <f aca="false">calc!$D$185</f>
        <v>3</v>
      </c>
      <c r="D185" s="21" t="n">
        <f aca="false">calc!$E$185</f>
        <v>7</v>
      </c>
      <c r="E185" s="21" t="n">
        <v>184</v>
      </c>
      <c r="F185" s="98" t="n">
        <f aca="false">calc!$X$185</f>
        <v>143.657341705699</v>
      </c>
      <c r="G185" s="99" t="n">
        <f aca="false">IF(ABS(F185-F184)&lt;100,F185,"")</f>
        <v>143.657341705699</v>
      </c>
      <c r="H185" s="24" t="n">
        <f aca="false">calc!$Z$185</f>
        <v>5.10344442833417</v>
      </c>
      <c r="M185" s="24" t="str">
        <f aca="false">IF(OR(K185="",L185=""),"",K185+L185)</f>
        <v/>
      </c>
    </row>
    <row r="186" customFormat="false" ht="17.75" hidden="false" customHeight="true" outlineLevel="0" collapsed="false">
      <c r="C186" s="21" t="n">
        <f aca="false">calc!$D$186</f>
        <v>4</v>
      </c>
      <c r="D186" s="21" t="n">
        <f aca="false">calc!$E$186</f>
        <v>7</v>
      </c>
      <c r="E186" s="21" t="n">
        <v>185</v>
      </c>
      <c r="F186" s="98" t="n">
        <f aca="false">calc!$X$186</f>
        <v>155.847277741521</v>
      </c>
      <c r="G186" s="99" t="n">
        <f aca="false">IF(ABS(F186-F185)&lt;100,F186,"")</f>
        <v>155.847277741521</v>
      </c>
      <c r="H186" s="24" t="n">
        <f aca="false">calc!$Z$186</f>
        <v>4.94315514951906</v>
      </c>
      <c r="M186" s="24" t="str">
        <f aca="false">IF(OR(K186="",L186=""),"",K186+L186)</f>
        <v/>
      </c>
    </row>
    <row r="187" customFormat="false" ht="17.75" hidden="false" customHeight="true" outlineLevel="0" collapsed="false">
      <c r="C187" s="21" t="n">
        <f aca="false">calc!$D$187</f>
        <v>5</v>
      </c>
      <c r="D187" s="21" t="n">
        <f aca="false">calc!$E$187</f>
        <v>7</v>
      </c>
      <c r="E187" s="21" t="n">
        <v>186</v>
      </c>
      <c r="F187" s="98" t="n">
        <f aca="false">calc!$X$187</f>
        <v>168.218836050138</v>
      </c>
      <c r="G187" s="99" t="n">
        <f aca="false">IF(ABS(F187-F186)&lt;100,F187,"")</f>
        <v>168.218836050138</v>
      </c>
      <c r="H187" s="24" t="n">
        <f aca="false">calc!$Z$187</f>
        <v>4.5518737677075</v>
      </c>
      <c r="M187" s="24" t="str">
        <f aca="false">IF(OR(K187="",L187=""),"",K187+L187)</f>
        <v/>
      </c>
    </row>
    <row r="188" customFormat="false" ht="17.75" hidden="false" customHeight="true" outlineLevel="0" collapsed="false">
      <c r="C188" s="21" t="n">
        <f aca="false">calc!$D$188</f>
        <v>6</v>
      </c>
      <c r="D188" s="21" t="n">
        <f aca="false">calc!$E$188</f>
        <v>7</v>
      </c>
      <c r="E188" s="21" t="n">
        <v>187</v>
      </c>
      <c r="F188" s="98" t="n">
        <f aca="false">calc!$X$188</f>
        <v>180.829341132941</v>
      </c>
      <c r="G188" s="99" t="n">
        <f aca="false">IF(ABS(F188-F187)&lt;100,F188,"")</f>
        <v>180.829341132941</v>
      </c>
      <c r="H188" s="24" t="n">
        <f aca="false">calc!$Z$188</f>
        <v>3.93388256298466</v>
      </c>
      <c r="M188" s="24" t="str">
        <f aca="false">IF(OR(K188="",L188=""),"",K188+L188)</f>
        <v/>
      </c>
    </row>
    <row r="189" customFormat="false" ht="17.75" hidden="false" customHeight="true" outlineLevel="0" collapsed="false">
      <c r="C189" s="21" t="n">
        <f aca="false">calc!$D$189</f>
        <v>7</v>
      </c>
      <c r="D189" s="21" t="n">
        <f aca="false">calc!$E$189</f>
        <v>7</v>
      </c>
      <c r="E189" s="21" t="n">
        <v>188</v>
      </c>
      <c r="F189" s="98" t="n">
        <f aca="false">calc!$X$189</f>
        <v>193.74435628987</v>
      </c>
      <c r="G189" s="99" t="n">
        <f aca="false">IF(ABS(F189-F188)&lt;100,F189,"")</f>
        <v>193.74435628987</v>
      </c>
      <c r="H189" s="24" t="n">
        <f aca="false">calc!$Z$189</f>
        <v>3.10193782336412</v>
      </c>
      <c r="M189" s="24" t="str">
        <f aca="false">IF(OR(K189="",L189=""),"",K189+L189)</f>
        <v/>
      </c>
    </row>
    <row r="190" customFormat="false" ht="17.75" hidden="false" customHeight="true" outlineLevel="0" collapsed="false">
      <c r="C190" s="21" t="n">
        <f aca="false">calc!$D$190</f>
        <v>8</v>
      </c>
      <c r="D190" s="21" t="n">
        <f aca="false">calc!$E$190</f>
        <v>7</v>
      </c>
      <c r="E190" s="21" t="n">
        <v>189</v>
      </c>
      <c r="F190" s="98" t="n">
        <f aca="false">calc!$X$190</f>
        <v>207.028867609305</v>
      </c>
      <c r="G190" s="99" t="n">
        <f aca="false">IF(ABS(F190-F189)&lt;100,F190,"")</f>
        <v>207.028867609305</v>
      </c>
      <c r="H190" s="24" t="n">
        <f aca="false">calc!$Z$190</f>
        <v>2.0802582121552</v>
      </c>
      <c r="M190" s="24" t="str">
        <f aca="false">IF(OR(K190="",L190=""),"",K190+L190)</f>
        <v/>
      </c>
    </row>
    <row r="191" customFormat="false" ht="17.75" hidden="false" customHeight="true" outlineLevel="0" collapsed="false">
      <c r="C191" s="21" t="n">
        <f aca="false">calc!$D$191</f>
        <v>9</v>
      </c>
      <c r="D191" s="21" t="n">
        <f aca="false">calc!$E$191</f>
        <v>7</v>
      </c>
      <c r="E191" s="21" t="n">
        <v>190</v>
      </c>
      <c r="F191" s="98" t="n">
        <f aca="false">calc!$X$191</f>
        <v>220.733938110532</v>
      </c>
      <c r="G191" s="99" t="n">
        <f aca="false">IF(ABS(F191-F190)&lt;100,F191,"")</f>
        <v>220.733938110532</v>
      </c>
      <c r="H191" s="24" t="n">
        <f aca="false">calc!$Z$191</f>
        <v>0.908652224999752</v>
      </c>
      <c r="M191" s="24" t="str">
        <f aca="false">IF(OR(K191="",L191=""),"",K191+L191)</f>
        <v/>
      </c>
    </row>
    <row r="192" customFormat="false" ht="17.75" hidden="false" customHeight="true" outlineLevel="0" collapsed="false">
      <c r="C192" s="21" t="n">
        <f aca="false">calc!$D$192</f>
        <v>10</v>
      </c>
      <c r="D192" s="21" t="n">
        <f aca="false">calc!$E$192</f>
        <v>7</v>
      </c>
      <c r="E192" s="21" t="n">
        <v>191</v>
      </c>
      <c r="F192" s="98" t="n">
        <f aca="false">calc!$X$192</f>
        <v>234.881523484122</v>
      </c>
      <c r="G192" s="99" t="n">
        <f aca="false">IF(ABS(F192-F191)&lt;100,F192,"")</f>
        <v>234.881523484122</v>
      </c>
      <c r="H192" s="24" t="n">
        <f aca="false">calc!$Z$192</f>
        <v>-0.353697311655848</v>
      </c>
      <c r="M192" s="24" t="str">
        <f aca="false">IF(OR(K192="",L192=""),"",K192+L192)</f>
        <v/>
      </c>
    </row>
    <row r="193" customFormat="false" ht="17.75" hidden="false" customHeight="true" outlineLevel="0" collapsed="false">
      <c r="C193" s="21" t="n">
        <f aca="false">calc!$D$193</f>
        <v>11</v>
      </c>
      <c r="D193" s="21" t="n">
        <f aca="false">calc!$E$193</f>
        <v>7</v>
      </c>
      <c r="E193" s="21" t="n">
        <v>192</v>
      </c>
      <c r="F193" s="98" t="n">
        <f aca="false">calc!$X$193</f>
        <v>249.451390298384</v>
      </c>
      <c r="G193" s="99" t="n">
        <f aca="false">IF(ABS(F193-F192)&lt;100,F193,"")</f>
        <v>249.451390298384</v>
      </c>
      <c r="H193" s="24" t="n">
        <f aca="false">calc!$Z$193</f>
        <v>-1.62739160420788</v>
      </c>
      <c r="M193" s="24" t="str">
        <f aca="false">IF(OR(K193="",L193=""),"",K193+L193)</f>
        <v/>
      </c>
    </row>
    <row r="194" customFormat="false" ht="17.75" hidden="false" customHeight="true" outlineLevel="0" collapsed="false">
      <c r="C194" s="21" t="n">
        <f aca="false">calc!$D$194</f>
        <v>12</v>
      </c>
      <c r="D194" s="21" t="n">
        <f aca="false">calc!$E$194</f>
        <v>7</v>
      </c>
      <c r="E194" s="21" t="n">
        <v>193</v>
      </c>
      <c r="F194" s="98" t="n">
        <f aca="false">calc!$X$194</f>
        <v>264.374203335896</v>
      </c>
      <c r="G194" s="99" t="n">
        <f aca="false">IF(ABS(F194-F193)&lt;100,F194,"")</f>
        <v>264.374203335896</v>
      </c>
      <c r="H194" s="24" t="n">
        <f aca="false">calc!$Z$194</f>
        <v>-2.81764352865142</v>
      </c>
      <c r="M194" s="24" t="str">
        <f aca="false">IF(OR(K194="",L194=""),"",K194+L194)</f>
        <v/>
      </c>
    </row>
    <row r="195" customFormat="false" ht="17.75" hidden="false" customHeight="true" outlineLevel="0" collapsed="false">
      <c r="C195" s="21" t="n">
        <f aca="false">calc!$D$195</f>
        <v>13</v>
      </c>
      <c r="D195" s="21" t="n">
        <f aca="false">calc!$E$195</f>
        <v>7</v>
      </c>
      <c r="E195" s="21" t="n">
        <v>194</v>
      </c>
      <c r="F195" s="98" t="n">
        <f aca="false">calc!$X$195</f>
        <v>279.533657492514</v>
      </c>
      <c r="G195" s="99" t="n">
        <f aca="false">IF(ABS(F195-F194)&lt;100,F195,"")</f>
        <v>279.533657492514</v>
      </c>
      <c r="H195" s="24" t="n">
        <f aca="false">calc!$Z$195</f>
        <v>-3.82585789891505</v>
      </c>
      <c r="M195" s="24" t="str">
        <f aca="false">IF(OR(K195="",L195=""),"",K195+L195)</f>
        <v/>
      </c>
    </row>
    <row r="196" customFormat="false" ht="17.75" hidden="false" customHeight="true" outlineLevel="0" collapsed="false">
      <c r="C196" s="21" t="n">
        <f aca="false">calc!$D$196</f>
        <v>14</v>
      </c>
      <c r="D196" s="21" t="n">
        <f aca="false">calc!$E$196</f>
        <v>7</v>
      </c>
      <c r="E196" s="21" t="n">
        <v>195</v>
      </c>
      <c r="F196" s="98" t="n">
        <f aca="false">calc!$X$196</f>
        <v>294.778296661579</v>
      </c>
      <c r="G196" s="99" t="n">
        <f aca="false">IF(ABS(F196-F195)&lt;100,F196,"")</f>
        <v>294.778296661579</v>
      </c>
      <c r="H196" s="24" t="n">
        <f aca="false">calc!$Z$196</f>
        <v>-4.56585993527782</v>
      </c>
      <c r="M196" s="24" t="str">
        <f aca="false">IF(OR(K196="",L196=""),"",K196+L196)</f>
        <v/>
      </c>
    </row>
    <row r="197" customFormat="false" ht="17.75" hidden="false" customHeight="true" outlineLevel="0" collapsed="false">
      <c r="C197" s="21" t="n">
        <f aca="false">calc!$D$197</f>
        <v>15</v>
      </c>
      <c r="D197" s="21" t="n">
        <f aca="false">calc!$E$197</f>
        <v>7</v>
      </c>
      <c r="E197" s="21" t="n">
        <v>196</v>
      </c>
      <c r="F197" s="98" t="n">
        <f aca="false">calc!$X$197</f>
        <v>309.941056366662</v>
      </c>
      <c r="G197" s="99" t="n">
        <f aca="false">IF(ABS(F197-F196)&lt;100,F197,"")</f>
        <v>309.941056366662</v>
      </c>
      <c r="H197" s="24" t="n">
        <f aca="false">calc!$Z$197</f>
        <v>-4.97960741317068</v>
      </c>
      <c r="M197" s="24" t="str">
        <f aca="false">IF(OR(K197="",L197=""),"",K197+L197)</f>
        <v/>
      </c>
    </row>
    <row r="198" customFormat="false" ht="17.75" hidden="false" customHeight="true" outlineLevel="0" collapsed="false">
      <c r="C198" s="21" t="n">
        <f aca="false">calc!$D$198</f>
        <v>16</v>
      </c>
      <c r="D198" s="21" t="n">
        <f aca="false">calc!$E$198</f>
        <v>7</v>
      </c>
      <c r="E198" s="21" t="n">
        <v>197</v>
      </c>
      <c r="F198" s="98" t="n">
        <f aca="false">calc!$X$198</f>
        <v>324.862421809771</v>
      </c>
      <c r="G198" s="99" t="n">
        <f aca="false">IF(ABS(F198-F197)&lt;100,F198,"")</f>
        <v>324.862421809771</v>
      </c>
      <c r="H198" s="24" t="n">
        <f aca="false">calc!$Z$198</f>
        <v>-5.04653495533672</v>
      </c>
      <c r="M198" s="24" t="str">
        <f aca="false">IF(OR(K198="",L198=""),"",K198+L198)</f>
        <v/>
      </c>
    </row>
    <row r="199" customFormat="false" ht="17.75" hidden="false" customHeight="true" outlineLevel="0" collapsed="false">
      <c r="C199" s="21" t="n">
        <f aca="false">calc!$D$199</f>
        <v>17</v>
      </c>
      <c r="D199" s="21" t="n">
        <f aca="false">calc!$E$199</f>
        <v>7</v>
      </c>
      <c r="E199" s="21" t="n">
        <v>198</v>
      </c>
      <c r="F199" s="98" t="n">
        <f aca="false">calc!$X$199</f>
        <v>339.412107039498</v>
      </c>
      <c r="G199" s="99" t="n">
        <f aca="false">IF(ABS(F199-F198)&lt;100,F199,"")</f>
        <v>339.412107039498</v>
      </c>
      <c r="H199" s="24" t="n">
        <f aca="false">calc!$Z$199</f>
        <v>-4.78328119021251</v>
      </c>
      <c r="M199" s="24" t="str">
        <f aca="false">IF(OR(K199="",L199=""),"",K199+L199)</f>
        <v/>
      </c>
    </row>
    <row r="200" customFormat="false" ht="17.75" hidden="false" customHeight="true" outlineLevel="0" collapsed="false">
      <c r="C200" s="21" t="n">
        <f aca="false">calc!$D$200</f>
        <v>18</v>
      </c>
      <c r="D200" s="21" t="n">
        <f aca="false">calc!$E$200</f>
        <v>7</v>
      </c>
      <c r="E200" s="21" t="n">
        <v>199</v>
      </c>
      <c r="F200" s="98" t="n">
        <f aca="false">calc!$X$200</f>
        <v>353.504644981449</v>
      </c>
      <c r="G200" s="99" t="n">
        <f aca="false">IF(ABS(F200-F199)&lt;100,F200,"")</f>
        <v>353.504644981449</v>
      </c>
      <c r="H200" s="24" t="n">
        <f aca="false">calc!$Z$200</f>
        <v>-4.23493171163314</v>
      </c>
      <c r="M200" s="24" t="str">
        <f aca="false">IF(OR(K200="",L200=""),"",K200+L200)</f>
        <v/>
      </c>
    </row>
    <row r="201" customFormat="false" ht="17.75" hidden="false" customHeight="true" outlineLevel="0" collapsed="false">
      <c r="C201" s="21" t="n">
        <f aca="false">calc!$D$201</f>
        <v>19</v>
      </c>
      <c r="D201" s="21" t="n">
        <f aca="false">calc!$E$201</f>
        <v>7</v>
      </c>
      <c r="E201" s="21" t="n">
        <v>200</v>
      </c>
      <c r="F201" s="98" t="n">
        <f aca="false">calc!$X$201</f>
        <v>7.10604553751131</v>
      </c>
      <c r="G201" s="99" t="str">
        <f aca="false">IF(ABS(F201-F200)&lt;100,F201,"")</f>
        <v/>
      </c>
      <c r="H201" s="24" t="n">
        <f aca="false">calc!$Z$201</f>
        <v>-3.46225981202724</v>
      </c>
      <c r="M201" s="24" t="str">
        <f aca="false">IF(OR(K201="",L201=""),"",K201+L201)</f>
        <v/>
      </c>
    </row>
    <row r="202" customFormat="false" ht="17.75" hidden="false" customHeight="true" outlineLevel="0" collapsed="false">
      <c r="C202" s="21" t="n">
        <f aca="false">calc!$D$202</f>
        <v>20</v>
      </c>
      <c r="D202" s="21" t="n">
        <f aca="false">calc!$E$202</f>
        <v>7</v>
      </c>
      <c r="E202" s="21" t="n">
        <v>201</v>
      </c>
      <c r="F202" s="98" t="n">
        <f aca="false">calc!$X$202</f>
        <v>20.2311210868523</v>
      </c>
      <c r="G202" s="99" t="n">
        <f aca="false">IF(ABS(F202-F201)&lt;100,F202,"")</f>
        <v>20.2311210868523</v>
      </c>
      <c r="H202" s="24" t="n">
        <f aca="false">calc!$Z$202</f>
        <v>-2.52996881941738</v>
      </c>
      <c r="M202" s="24" t="str">
        <f aca="false">IF(OR(K202="",L202=""),"",K202+L202)</f>
        <v/>
      </c>
    </row>
    <row r="203" customFormat="false" ht="17.75" hidden="false" customHeight="true" outlineLevel="0" collapsed="false">
      <c r="C203" s="21" t="n">
        <f aca="false">calc!$D$203</f>
        <v>21</v>
      </c>
      <c r="D203" s="21" t="n">
        <f aca="false">calc!$E$203</f>
        <v>7</v>
      </c>
      <c r="E203" s="21" t="n">
        <v>202</v>
      </c>
      <c r="F203" s="98" t="n">
        <f aca="false">calc!$X$203</f>
        <v>32.9333939744709</v>
      </c>
      <c r="G203" s="99" t="n">
        <f aca="false">IF(ABS(F203-F202)&lt;100,F203,"")</f>
        <v>32.9333939744709</v>
      </c>
      <c r="H203" s="24" t="n">
        <f aca="false">calc!$Z$203</f>
        <v>-1.49902524287925</v>
      </c>
      <c r="M203" s="24" t="str">
        <f aca="false">IF(OR(K203="",L203=""),"",K203+L203)</f>
        <v/>
      </c>
    </row>
    <row r="204" customFormat="false" ht="17.75" hidden="false" customHeight="true" outlineLevel="0" collapsed="false">
      <c r="C204" s="21" t="n">
        <f aca="false">calc!$D$204</f>
        <v>22</v>
      </c>
      <c r="D204" s="21" t="n">
        <f aca="false">calc!$E$204</f>
        <v>7</v>
      </c>
      <c r="E204" s="21" t="n">
        <v>203</v>
      </c>
      <c r="F204" s="98" t="n">
        <f aca="false">calc!$X$204</f>
        <v>45.2909877182798</v>
      </c>
      <c r="G204" s="99" t="n">
        <f aca="false">IF(ABS(F204-F203)&lt;100,F204,"")</f>
        <v>45.2909877182798</v>
      </c>
      <c r="H204" s="24" t="n">
        <f aca="false">calc!$Z$204</f>
        <v>-0.423553114483459</v>
      </c>
      <c r="M204" s="24" t="str">
        <f aca="false">IF(OR(K204="",L204=""),"",K204+L204)</f>
        <v/>
      </c>
    </row>
    <row r="205" customFormat="false" ht="17.75" hidden="false" customHeight="true" outlineLevel="0" collapsed="false">
      <c r="C205" s="21" t="n">
        <f aca="false">calc!$D$205</f>
        <v>23</v>
      </c>
      <c r="D205" s="21" t="n">
        <f aca="false">calc!$E$205</f>
        <v>7</v>
      </c>
      <c r="E205" s="21" t="n">
        <v>204</v>
      </c>
      <c r="F205" s="98" t="n">
        <f aca="false">calc!$X$205</f>
        <v>57.3922046562681</v>
      </c>
      <c r="G205" s="99" t="n">
        <f aca="false">IF(ABS(F205-F204)&lt;100,F205,"")</f>
        <v>57.3922046562681</v>
      </c>
      <c r="H205" s="24" t="n">
        <f aca="false">calc!$Z$205</f>
        <v>0.649053381986852</v>
      </c>
      <c r="M205" s="24" t="str">
        <f aca="false">IF(OR(K205="",L205=""),"",K205+L205)</f>
        <v/>
      </c>
    </row>
    <row r="206" customFormat="false" ht="17.75" hidden="false" customHeight="true" outlineLevel="0" collapsed="false">
      <c r="C206" s="21" t="n">
        <f aca="false">calc!$D$206</f>
        <v>24</v>
      </c>
      <c r="D206" s="21" t="n">
        <f aca="false">calc!$E$206</f>
        <v>7</v>
      </c>
      <c r="E206" s="21" t="n">
        <v>205</v>
      </c>
      <c r="F206" s="98" t="n">
        <f aca="false">calc!$X$206</f>
        <v>69.3236940631068</v>
      </c>
      <c r="G206" s="99" t="n">
        <f aca="false">IF(ABS(F206-F205)&lt;100,F206,"")</f>
        <v>69.3236940631068</v>
      </c>
      <c r="H206" s="24" t="n">
        <f aca="false">calc!$Z$206</f>
        <v>1.67666174276622</v>
      </c>
      <c r="M206" s="24" t="str">
        <f aca="false">IF(OR(K206="",L206=""),"",K206+L206)</f>
        <v/>
      </c>
    </row>
    <row r="207" customFormat="false" ht="17.75" hidden="false" customHeight="true" outlineLevel="0" collapsed="false">
      <c r="C207" s="21" t="n">
        <f aca="false">calc!$D$207</f>
        <v>25</v>
      </c>
      <c r="D207" s="21" t="n">
        <f aca="false">calc!$E$207</f>
        <v>7</v>
      </c>
      <c r="E207" s="21" t="n">
        <v>206</v>
      </c>
      <c r="F207" s="98" t="n">
        <f aca="false">calc!$X$207</f>
        <v>81.1626740731639</v>
      </c>
      <c r="G207" s="99" t="n">
        <f aca="false">IF(ABS(F207-F206)&lt;100,F207,"")</f>
        <v>81.1626740731639</v>
      </c>
      <c r="H207" s="24" t="n">
        <f aca="false">calc!$Z$207</f>
        <v>2.62100882975265</v>
      </c>
      <c r="M207" s="24" t="str">
        <f aca="false">IF(OR(K207="",L207=""),"",K207+L207)</f>
        <v/>
      </c>
    </row>
    <row r="208" customFormat="false" ht="17.75" hidden="false" customHeight="true" outlineLevel="0" collapsed="false">
      <c r="C208" s="21" t="n">
        <f aca="false">calc!$D$208</f>
        <v>26</v>
      </c>
      <c r="D208" s="21" t="n">
        <f aca="false">calc!$E$208</f>
        <v>7</v>
      </c>
      <c r="E208" s="21" t="n">
        <v>207</v>
      </c>
      <c r="F208" s="98" t="n">
        <f aca="false">calc!$X$208</f>
        <v>92.9732063042147</v>
      </c>
      <c r="G208" s="99" t="n">
        <f aca="false">IF(ABS(F208-F207)&lt;100,F208,"")</f>
        <v>92.9732063042147</v>
      </c>
      <c r="H208" s="24" t="n">
        <f aca="false">calc!$Z$208</f>
        <v>3.44704870822265</v>
      </c>
      <c r="M208" s="24" t="str">
        <f aca="false">IF(OR(K208="",L208=""),"",K208+L208)</f>
        <v/>
      </c>
    </row>
    <row r="209" customFormat="false" ht="17.75" hidden="false" customHeight="true" outlineLevel="0" collapsed="false">
      <c r="C209" s="21" t="n">
        <f aca="false">calc!$D$209</f>
        <v>27</v>
      </c>
      <c r="D209" s="21" t="n">
        <f aca="false">calc!$E$209</f>
        <v>7</v>
      </c>
      <c r="E209" s="21" t="n">
        <v>208</v>
      </c>
      <c r="F209" s="98" t="n">
        <f aca="false">calc!$X$209</f>
        <v>104.805555609817</v>
      </c>
      <c r="G209" s="99" t="n">
        <f aca="false">IF(ABS(F209-F208)&lt;100,F209,"")</f>
        <v>104.805555609817</v>
      </c>
      <c r="H209" s="24" t="n">
        <f aca="false">calc!$Z$209</f>
        <v>4.12308275610323</v>
      </c>
      <c r="M209" s="24" t="str">
        <f aca="false">IF(OR(K209="",L209=""),"",K209+L209)</f>
        <v/>
      </c>
    </row>
    <row r="210" customFormat="false" ht="17.75" hidden="false" customHeight="true" outlineLevel="0" collapsed="false">
      <c r="C210" s="21" t="n">
        <f aca="false">calc!$D$210</f>
        <v>28</v>
      </c>
      <c r="D210" s="21" t="n">
        <f aca="false">calc!$E$210</f>
        <v>7</v>
      </c>
      <c r="E210" s="21" t="n">
        <v>209</v>
      </c>
      <c r="F210" s="98" t="n">
        <f aca="false">calc!$X$210</f>
        <v>116.69742685316</v>
      </c>
      <c r="G210" s="99" t="n">
        <f aca="false">IF(ABS(F210-F209)&lt;100,F210,"")</f>
        <v>116.69742685316</v>
      </c>
      <c r="H210" s="24" t="n">
        <f aca="false">calc!$Z$210</f>
        <v>4.62143163642959</v>
      </c>
      <c r="M210" s="24" t="str">
        <f aca="false">IF(OR(K210="",L210=""),"",K210+L210)</f>
        <v/>
      </c>
    </row>
    <row r="211" customFormat="false" ht="17.75" hidden="false" customHeight="true" outlineLevel="0" collapsed="false">
      <c r="C211" s="21" t="n">
        <f aca="false">calc!$D$211</f>
        <v>29</v>
      </c>
      <c r="D211" s="21" t="n">
        <f aca="false">calc!$E$211</f>
        <v>7</v>
      </c>
      <c r="E211" s="21" t="n">
        <v>210</v>
      </c>
      <c r="F211" s="98" t="n">
        <f aca="false">calc!$X$211</f>
        <v>128.676230517595</v>
      </c>
      <c r="G211" s="99" t="n">
        <f aca="false">IF(ABS(F211-F210)&lt;100,F211,"")</f>
        <v>128.676230517595</v>
      </c>
      <c r="H211" s="24" t="n">
        <f aca="false">calc!$Z$211</f>
        <v>4.919403977088</v>
      </c>
      <c r="M211" s="24" t="str">
        <f aca="false">IF(OR(K211="",L211=""),"",K211+L211)</f>
        <v/>
      </c>
    </row>
    <row r="212" customFormat="false" ht="17.75" hidden="false" customHeight="true" outlineLevel="0" collapsed="false">
      <c r="C212" s="21" t="n">
        <f aca="false">calc!$D$212</f>
        <v>30</v>
      </c>
      <c r="D212" s="21" t="n">
        <f aca="false">calc!$E$212</f>
        <v>7</v>
      </c>
      <c r="E212" s="21" t="n">
        <v>211</v>
      </c>
      <c r="F212" s="98" t="n">
        <f aca="false">calc!$X$212</f>
        <v>140.762106361377</v>
      </c>
      <c r="G212" s="99" t="n">
        <f aca="false">IF(ABS(F212-F211)&lt;100,F212,"")</f>
        <v>140.762106361377</v>
      </c>
      <c r="H212" s="24" t="n">
        <f aca="false">calc!$Z$212</f>
        <v>5.00040429176415</v>
      </c>
      <c r="M212" s="24" t="str">
        <f aca="false">IF(OR(K212="",L212=""),"",K212+L212)</f>
        <v/>
      </c>
    </row>
    <row r="213" customFormat="false" ht="17.75" hidden="false" customHeight="true" outlineLevel="0" collapsed="false">
      <c r="C213" s="21" t="n">
        <f aca="false">calc!$D$213</f>
        <v>31</v>
      </c>
      <c r="D213" s="21" t="n">
        <f aca="false">calc!$E$213</f>
        <v>7</v>
      </c>
      <c r="E213" s="21" t="n">
        <v>212</v>
      </c>
      <c r="F213" s="98" t="n">
        <f aca="false">calc!$X$213</f>
        <v>152.971792076556</v>
      </c>
      <c r="G213" s="99" t="n">
        <f aca="false">IF(ABS(F213-F212)&lt;100,F213,"")</f>
        <v>152.971792076556</v>
      </c>
      <c r="H213" s="24" t="n">
        <f aca="false">calc!$Z$213</f>
        <v>4.85505713131028</v>
      </c>
      <c r="M213" s="24" t="str">
        <f aca="false">IF(OR(K213="",L213=""),"",K213+L213)</f>
        <v/>
      </c>
    </row>
    <row r="214" customFormat="false" ht="17.75" hidden="false" customHeight="true" outlineLevel="0" collapsed="false">
      <c r="C214" s="21" t="n">
        <f aca="false">calc!$D$214</f>
        <v>1</v>
      </c>
      <c r="D214" s="21" t="n">
        <f aca="false">calc!$E$214</f>
        <v>8</v>
      </c>
      <c r="E214" s="21" t="n">
        <v>213</v>
      </c>
      <c r="F214" s="98" t="n">
        <f aca="false">calc!$X$214</f>
        <v>165.323289125193</v>
      </c>
      <c r="G214" s="99" t="n">
        <f aca="false">IF(ABS(F214-F213)&lt;100,F214,"")</f>
        <v>165.323289125193</v>
      </c>
      <c r="H214" s="24" t="n">
        <f aca="false">calc!$Z$214</f>
        <v>4.48220047307954</v>
      </c>
      <c r="M214" s="24" t="str">
        <f aca="false">IF(OR(K214="",L214=""),"",K214+L214)</f>
        <v/>
      </c>
    </row>
    <row r="215" customFormat="false" ht="17.75" hidden="false" customHeight="true" outlineLevel="0" collapsed="false">
      <c r="C215" s="21" t="n">
        <f aca="false">calc!$D$215</f>
        <v>2</v>
      </c>
      <c r="D215" s="21" t="n">
        <f aca="false">calc!$E$215</f>
        <v>8</v>
      </c>
      <c r="E215" s="21" t="n">
        <v>214</v>
      </c>
      <c r="F215" s="98" t="n">
        <f aca="false">calc!$X$215</f>
        <v>177.840677915366</v>
      </c>
      <c r="G215" s="99" t="n">
        <f aca="false">IF(ABS(F215-F214)&lt;100,F215,"")</f>
        <v>177.840677915366</v>
      </c>
      <c r="H215" s="24" t="n">
        <f aca="false">calc!$Z$215</f>
        <v>3.88962708447026</v>
      </c>
      <c r="M215" s="24" t="str">
        <f aca="false">IF(OR(K215="",L215=""),"",K215+L215)</f>
        <v/>
      </c>
    </row>
    <row r="216" customFormat="false" ht="17.75" hidden="false" customHeight="true" outlineLevel="0" collapsed="false">
      <c r="C216" s="21" t="n">
        <f aca="false">calc!$D$216</f>
        <v>3</v>
      </c>
      <c r="D216" s="21" t="n">
        <f aca="false">calc!$E$216</f>
        <v>8</v>
      </c>
      <c r="E216" s="21" t="n">
        <v>215</v>
      </c>
      <c r="F216" s="98" t="n">
        <f aca="false">calc!$X$216</f>
        <v>190.557689935079</v>
      </c>
      <c r="G216" s="99" t="n">
        <f aca="false">IF(ABS(F216-F215)&lt;100,F216,"")</f>
        <v>190.557689935079</v>
      </c>
      <c r="H216" s="24" t="n">
        <f aca="false">calc!$Z$216</f>
        <v>3.09461554838462</v>
      </c>
      <c r="M216" s="24" t="str">
        <f aca="false">IF(OR(K216="",L216=""),"",K216+L216)</f>
        <v/>
      </c>
    </row>
    <row r="217" customFormat="false" ht="17.75" hidden="false" customHeight="true" outlineLevel="0" collapsed="false">
      <c r="C217" s="21" t="n">
        <f aca="false">calc!$D$217</f>
        <v>4</v>
      </c>
      <c r="D217" s="21" t="n">
        <f aca="false">calc!$E$217</f>
        <v>8</v>
      </c>
      <c r="E217" s="21" t="n">
        <v>216</v>
      </c>
      <c r="F217" s="98" t="n">
        <f aca="false">calc!$X$217</f>
        <v>203.51822188362</v>
      </c>
      <c r="G217" s="99" t="n">
        <f aca="false">IF(ABS(F217-F216)&lt;100,F217,"")</f>
        <v>203.51822188362</v>
      </c>
      <c r="H217" s="24" t="n">
        <f aca="false">calc!$Z$217</f>
        <v>2.12452660753731</v>
      </c>
      <c r="M217" s="24" t="str">
        <f aca="false">IF(OR(K217="",L217=""),"",K217+L217)</f>
        <v/>
      </c>
    </row>
    <row r="218" customFormat="false" ht="17.75" hidden="false" customHeight="true" outlineLevel="0" collapsed="false">
      <c r="C218" s="21" t="n">
        <f aca="false">calc!$D$218</f>
        <v>5</v>
      </c>
      <c r="D218" s="21" t="n">
        <f aca="false">calc!$E$218</f>
        <v>8</v>
      </c>
      <c r="E218" s="21" t="n">
        <v>217</v>
      </c>
      <c r="F218" s="98" t="n">
        <f aca="false">calc!$X$218</f>
        <v>216.772264095612</v>
      </c>
      <c r="G218" s="99" t="n">
        <f aca="false">IF(ABS(F218-F217)&lt;100,F218,"")</f>
        <v>216.772264095612</v>
      </c>
      <c r="H218" s="24" t="n">
        <f aca="false">calc!$Z$218</f>
        <v>1.01781415119021</v>
      </c>
      <c r="M218" s="24" t="str">
        <f aca="false">IF(OR(K218="",L218=""),"",K218+L218)</f>
        <v/>
      </c>
    </row>
    <row r="219" customFormat="false" ht="17.75" hidden="false" customHeight="true" outlineLevel="0" collapsed="false">
      <c r="C219" s="21" t="n">
        <f aca="false">calc!$D$219</f>
        <v>6</v>
      </c>
      <c r="D219" s="21" t="n">
        <f aca="false">calc!$E$219</f>
        <v>8</v>
      </c>
      <c r="E219" s="21" t="n">
        <v>218</v>
      </c>
      <c r="F219" s="98" t="n">
        <f aca="false">calc!$X$219</f>
        <v>230.366819369016</v>
      </c>
      <c r="G219" s="99" t="n">
        <f aca="false">IF(ABS(F219-F218)&lt;100,F219,"")</f>
        <v>230.366819369016</v>
      </c>
      <c r="H219" s="24" t="n">
        <f aca="false">calc!$Z$219</f>
        <v>-0.174534470616219</v>
      </c>
      <c r="M219" s="24" t="str">
        <f aca="false">IF(OR(K219="",L219=""),"",K219+L219)</f>
        <v/>
      </c>
    </row>
    <row r="220" customFormat="false" ht="17.75" hidden="false" customHeight="true" outlineLevel="0" collapsed="false">
      <c r="C220" s="21" t="n">
        <f aca="false">calc!$D$220</f>
        <v>7</v>
      </c>
      <c r="D220" s="21" t="n">
        <f aca="false">calc!$E$220</f>
        <v>8</v>
      </c>
      <c r="E220" s="21" t="n">
        <v>219</v>
      </c>
      <c r="F220" s="98" t="n">
        <f aca="false">calc!$X$220</f>
        <v>244.333045439623</v>
      </c>
      <c r="G220" s="99" t="n">
        <f aca="false">IF(ABS(F220-F219)&lt;100,F220,"")</f>
        <v>244.333045439623</v>
      </c>
      <c r="H220" s="24" t="n">
        <f aca="false">calc!$Z$220</f>
        <v>-1.38789235131864</v>
      </c>
      <c r="M220" s="24" t="str">
        <f aca="false">IF(OR(K220="",L220=""),"",K220+L220)</f>
        <v/>
      </c>
    </row>
    <row r="221" customFormat="false" ht="17.75" hidden="false" customHeight="true" outlineLevel="0" collapsed="false">
      <c r="C221" s="21" t="n">
        <f aca="false">calc!$D$221</f>
        <v>8</v>
      </c>
      <c r="D221" s="21" t="n">
        <f aca="false">calc!$E$221</f>
        <v>8</v>
      </c>
      <c r="E221" s="21" t="n">
        <v>220</v>
      </c>
      <c r="F221" s="98" t="n">
        <f aca="false">calc!$X$221</f>
        <v>258.67250166201</v>
      </c>
      <c r="G221" s="99" t="n">
        <f aca="false">IF(ABS(F221-F220)&lt;100,F221,"")</f>
        <v>258.67250166201</v>
      </c>
      <c r="H221" s="24" t="n">
        <f aca="false">calc!$Z$221</f>
        <v>-2.54486210078593</v>
      </c>
      <c r="M221" s="24" t="str">
        <f aca="false">IF(OR(K221="",L221=""),"",K221+L221)</f>
        <v/>
      </c>
    </row>
    <row r="222" customFormat="false" ht="17.75" hidden="false" customHeight="true" outlineLevel="0" collapsed="false">
      <c r="C222" s="21" t="n">
        <f aca="false">calc!$D$222</f>
        <v>9</v>
      </c>
      <c r="D222" s="21" t="n">
        <f aca="false">calc!$E$222</f>
        <v>8</v>
      </c>
      <c r="E222" s="21" t="n">
        <v>221</v>
      </c>
      <c r="F222" s="98" t="n">
        <f aca="false">calc!$X$222</f>
        <v>273.346362490732</v>
      </c>
      <c r="G222" s="99" t="n">
        <f aca="false">IF(ABS(F222-F221)&lt;100,F222,"")</f>
        <v>273.346362490732</v>
      </c>
      <c r="H222" s="24" t="n">
        <f aca="false">calc!$Z$222</f>
        <v>-3.56005255331553</v>
      </c>
      <c r="M222" s="24" t="str">
        <f aca="false">IF(OR(K222="",L222=""),"",K222+L222)</f>
        <v/>
      </c>
    </row>
    <row r="223" customFormat="false" ht="17.75" hidden="false" customHeight="true" outlineLevel="0" collapsed="false">
      <c r="C223" s="21" t="n">
        <f aca="false">calc!$D$223</f>
        <v>10</v>
      </c>
      <c r="D223" s="21" t="n">
        <f aca="false">calc!$E$223</f>
        <v>8</v>
      </c>
      <c r="E223" s="21" t="n">
        <v>222</v>
      </c>
      <c r="F223" s="98" t="n">
        <f aca="false">calc!$X$223</f>
        <v>288.271293441767</v>
      </c>
      <c r="G223" s="99" t="n">
        <f aca="false">IF(ABS(F223-F222)&lt;100,F223,"")</f>
        <v>288.271293441767</v>
      </c>
      <c r="H223" s="24" t="n">
        <f aca="false">calc!$Z$223</f>
        <v>-4.34972788331311</v>
      </c>
      <c r="M223" s="24" t="str">
        <f aca="false">IF(OR(K223="",L223=""),"",K223+L223)</f>
        <v/>
      </c>
    </row>
    <row r="224" customFormat="false" ht="17.75" hidden="false" customHeight="true" outlineLevel="0" collapsed="false">
      <c r="C224" s="21" t="n">
        <f aca="false">calc!$D$224</f>
        <v>11</v>
      </c>
      <c r="D224" s="21" t="n">
        <f aca="false">calc!$E$224</f>
        <v>8</v>
      </c>
      <c r="E224" s="21" t="n">
        <v>223</v>
      </c>
      <c r="F224" s="98" t="n">
        <f aca="false">calc!$X$224</f>
        <v>303.324270481862</v>
      </c>
      <c r="G224" s="99" t="n">
        <f aca="false">IF(ABS(F224-F223)&lt;100,F224,"")</f>
        <v>303.324270481862</v>
      </c>
      <c r="H224" s="24" t="n">
        <f aca="false">calc!$Z$224</f>
        <v>-4.84502157639039</v>
      </c>
      <c r="M224" s="24" t="str">
        <f aca="false">IF(OR(K224="",L224=""),"",K224+L224)</f>
        <v/>
      </c>
    </row>
    <row r="225" customFormat="false" ht="17.75" hidden="false" customHeight="true" outlineLevel="0" collapsed="false">
      <c r="C225" s="21" t="n">
        <f aca="false">calc!$D$225</f>
        <v>12</v>
      </c>
      <c r="D225" s="21" t="n">
        <f aca="false">calc!$E$225</f>
        <v>8</v>
      </c>
      <c r="E225" s="21" t="n">
        <v>224</v>
      </c>
      <c r="F225" s="98" t="n">
        <f aca="false">calc!$X$225</f>
        <v>318.356318608415</v>
      </c>
      <c r="G225" s="99" t="n">
        <f aca="false">IF(ABS(F225-F224)&lt;100,F225,"")</f>
        <v>318.356318608415</v>
      </c>
      <c r="H225" s="24" t="n">
        <f aca="false">calc!$Z$225</f>
        <v>-5.00487487217245</v>
      </c>
      <c r="M225" s="24" t="str">
        <f aca="false">IF(OR(K225="",L225=""),"",K225+L225)</f>
        <v/>
      </c>
    </row>
    <row r="226" customFormat="false" ht="17.75" hidden="false" customHeight="true" outlineLevel="0" collapsed="false">
      <c r="C226" s="21" t="n">
        <f aca="false">calc!$D$226</f>
        <v>13</v>
      </c>
      <c r="D226" s="21" t="n">
        <f aca="false">calc!$E$226</f>
        <v>8</v>
      </c>
      <c r="E226" s="21" t="n">
        <v>225</v>
      </c>
      <c r="F226" s="98" t="n">
        <f aca="false">calc!$X$226</f>
        <v>333.212657872794</v>
      </c>
      <c r="G226" s="99" t="n">
        <f aca="false">IF(ABS(F226-F225)&lt;100,F226,"")</f>
        <v>333.212657872794</v>
      </c>
      <c r="H226" s="24" t="n">
        <f aca="false">calc!$Z$226</f>
        <v>-4.82383369908524</v>
      </c>
      <c r="M226" s="24" t="str">
        <f aca="false">IF(OR(K226="",L226=""),"",K226+L226)</f>
        <v/>
      </c>
    </row>
    <row r="227" customFormat="false" ht="17.75" hidden="false" customHeight="true" outlineLevel="0" collapsed="false">
      <c r="C227" s="21" t="n">
        <f aca="false">calc!$D$227</f>
        <v>14</v>
      </c>
      <c r="D227" s="21" t="n">
        <f aca="false">calc!$E$227</f>
        <v>8</v>
      </c>
      <c r="E227" s="21" t="n">
        <v>226</v>
      </c>
      <c r="F227" s="98" t="n">
        <f aca="false">calc!$X$227</f>
        <v>347.754887281836</v>
      </c>
      <c r="G227" s="99" t="n">
        <f aca="false">IF(ABS(F227-F226)&lt;100,F227,"")</f>
        <v>347.754887281836</v>
      </c>
      <c r="H227" s="24" t="n">
        <f aca="false">calc!$Z$227</f>
        <v>-4.3314772517721</v>
      </c>
      <c r="M227" s="24" t="str">
        <f aca="false">IF(OR(K227="",L227=""),"",K227+L227)</f>
        <v/>
      </c>
    </row>
    <row r="228" customFormat="false" ht="17.75" hidden="false" customHeight="true" outlineLevel="0" collapsed="false">
      <c r="C228" s="21" t="n">
        <f aca="false">calc!$D$228</f>
        <v>15</v>
      </c>
      <c r="D228" s="21" t="n">
        <f aca="false">calc!$E$228</f>
        <v>8</v>
      </c>
      <c r="E228" s="21" t="n">
        <v>227</v>
      </c>
      <c r="F228" s="98" t="n">
        <f aca="false">calc!$X$228</f>
        <v>1.88022973887737</v>
      </c>
      <c r="G228" s="99" t="str">
        <f aca="false">IF(ABS(F228-F227)&lt;100,F228,"")</f>
        <v/>
      </c>
      <c r="H228" s="24" t="n">
        <f aca="false">calc!$Z$228</f>
        <v>-3.58386624494141</v>
      </c>
      <c r="M228" s="24" t="str">
        <f aca="false">IF(OR(K228="",L228=""),"",K228+L228)</f>
        <v/>
      </c>
    </row>
    <row r="229" customFormat="false" ht="17.75" hidden="false" customHeight="true" outlineLevel="0" collapsed="false">
      <c r="C229" s="21" t="n">
        <f aca="false">calc!$D$229</f>
        <v>16</v>
      </c>
      <c r="D229" s="21" t="n">
        <f aca="false">calc!$E$229</f>
        <v>8</v>
      </c>
      <c r="E229" s="21" t="n">
        <v>228</v>
      </c>
      <c r="F229" s="98" t="n">
        <f aca="false">calc!$X$229</f>
        <v>15.53370503837</v>
      </c>
      <c r="G229" s="99" t="n">
        <f aca="false">IF(ABS(F229-F228)&lt;100,F229,"")</f>
        <v>15.53370503837</v>
      </c>
      <c r="H229" s="24" t="n">
        <f aca="false">calc!$Z$229</f>
        <v>-2.6507507045589</v>
      </c>
      <c r="M229" s="24" t="str">
        <f aca="false">IF(OR(K229="",L229=""),"",K229+L229)</f>
        <v/>
      </c>
    </row>
    <row r="230" customFormat="false" ht="17.75" hidden="false" customHeight="true" outlineLevel="0" collapsed="false">
      <c r="C230" s="21" t="n">
        <f aca="false">calc!$D$230</f>
        <v>17</v>
      </c>
      <c r="D230" s="21" t="n">
        <f aca="false">calc!$E$230</f>
        <v>8</v>
      </c>
      <c r="E230" s="21" t="n">
        <v>229</v>
      </c>
      <c r="F230" s="98" t="n">
        <f aca="false">calc!$X$230</f>
        <v>28.7110995656791</v>
      </c>
      <c r="G230" s="99" t="n">
        <f aca="false">IF(ABS(F230-F229)&lt;100,F230,"")</f>
        <v>28.7110995656791</v>
      </c>
      <c r="H230" s="24" t="n">
        <f aca="false">calc!$Z$230</f>
        <v>-1.60336797671305</v>
      </c>
      <c r="M230" s="24" t="str">
        <f aca="false">IF(OR(K230="",L230=""),"",K230+L230)</f>
        <v/>
      </c>
    </row>
    <row r="231" customFormat="false" ht="17.75" hidden="false" customHeight="true" outlineLevel="0" collapsed="false">
      <c r="C231" s="21" t="n">
        <f aca="false">calc!$D$231</f>
        <v>18</v>
      </c>
      <c r="D231" s="21" t="n">
        <f aca="false">calc!$E$231</f>
        <v>8</v>
      </c>
      <c r="E231" s="21" t="n">
        <v>230</v>
      </c>
      <c r="F231" s="98" t="n">
        <f aca="false">calc!$X$231</f>
        <v>41.4530840787897</v>
      </c>
      <c r="G231" s="99" t="n">
        <f aca="false">IF(ABS(F231-F230)&lt;100,F231,"")</f>
        <v>41.4530840787897</v>
      </c>
      <c r="H231" s="24" t="n">
        <f aca="false">calc!$Z$231</f>
        <v>-0.50625699870925</v>
      </c>
      <c r="M231" s="24" t="str">
        <f aca="false">IF(OR(K231="",L231=""),"",K231+L231)</f>
        <v/>
      </c>
    </row>
    <row r="232" customFormat="false" ht="17.75" hidden="false" customHeight="true" outlineLevel="0" collapsed="false">
      <c r="C232" s="21" t="n">
        <f aca="false">calc!$D$232</f>
        <v>19</v>
      </c>
      <c r="D232" s="21" t="n">
        <f aca="false">calc!$E$232</f>
        <v>8</v>
      </c>
      <c r="E232" s="21" t="n">
        <v>231</v>
      </c>
      <c r="F232" s="98" t="n">
        <f aca="false">calc!$X$232</f>
        <v>53.8329860735459</v>
      </c>
      <c r="G232" s="99" t="n">
        <f aca="false">IF(ABS(F232-F231)&lt;100,F232,"")</f>
        <v>53.8329860735459</v>
      </c>
      <c r="H232" s="24" t="n">
        <f aca="false">calc!$Z$232</f>
        <v>0.586020206968269</v>
      </c>
      <c r="M232" s="24" t="str">
        <f aca="false">IF(OR(K232="",L232=""),"",K232+L232)</f>
        <v/>
      </c>
    </row>
    <row r="233" customFormat="false" ht="17.75" hidden="false" customHeight="true" outlineLevel="0" collapsed="false">
      <c r="C233" s="21" t="n">
        <f aca="false">calc!$D$233</f>
        <v>20</v>
      </c>
      <c r="D233" s="21" t="n">
        <f aca="false">calc!$E$233</f>
        <v>8</v>
      </c>
      <c r="E233" s="21" t="n">
        <v>232</v>
      </c>
      <c r="F233" s="98" t="n">
        <f aca="false">calc!$X$233</f>
        <v>65.9419039965656</v>
      </c>
      <c r="G233" s="99" t="n">
        <f aca="false">IF(ABS(F233-F232)&lt;100,F233,"")</f>
        <v>65.9419039965656</v>
      </c>
      <c r="H233" s="24" t="n">
        <f aca="false">calc!$Z$233</f>
        <v>1.62841597950048</v>
      </c>
      <c r="M233" s="24" t="str">
        <f aca="false">IF(OR(K233="",L233=""),"",K233+L233)</f>
        <v/>
      </c>
    </row>
    <row r="234" customFormat="false" ht="17.75" hidden="false" customHeight="true" outlineLevel="0" collapsed="false">
      <c r="C234" s="21" t="n">
        <f aca="false">calc!$D$234</f>
        <v>21</v>
      </c>
      <c r="D234" s="21" t="n">
        <f aca="false">calc!$E$234</f>
        <v>8</v>
      </c>
      <c r="E234" s="21" t="n">
        <v>233</v>
      </c>
      <c r="F234" s="98" t="n">
        <f aca="false">calc!$X$234</f>
        <v>77.8747949592995</v>
      </c>
      <c r="G234" s="99" t="n">
        <f aca="false">IF(ABS(F234-F233)&lt;100,F234,"")</f>
        <v>77.8747949592995</v>
      </c>
      <c r="H234" s="24" t="n">
        <f aca="false">calc!$Z$234</f>
        <v>2.58316535434374</v>
      </c>
      <c r="M234" s="24" t="str">
        <f aca="false">IF(OR(K234="",L234=""),"",K234+L234)</f>
        <v/>
      </c>
    </row>
    <row r="235" customFormat="false" ht="17.75" hidden="false" customHeight="true" outlineLevel="0" collapsed="false">
      <c r="C235" s="21" t="n">
        <f aca="false">calc!$D$235</f>
        <v>22</v>
      </c>
      <c r="D235" s="21" t="n">
        <f aca="false">calc!$E$235</f>
        <v>8</v>
      </c>
      <c r="E235" s="21" t="n">
        <v>234</v>
      </c>
      <c r="F235" s="98" t="n">
        <f aca="false">calc!$X$235</f>
        <v>89.7200665321186</v>
      </c>
      <c r="G235" s="99" t="n">
        <f aca="false">IF(ABS(F235-F234)&lt;100,F235,"")</f>
        <v>89.7200665321186</v>
      </c>
      <c r="H235" s="24" t="n">
        <f aca="false">calc!$Z$235</f>
        <v>3.41747407236495</v>
      </c>
      <c r="M235" s="24" t="str">
        <f aca="false">IF(OR(K235="",L235=""),"",K235+L235)</f>
        <v/>
      </c>
    </row>
    <row r="236" customFormat="false" ht="17.75" hidden="false" customHeight="true" outlineLevel="0" collapsed="false">
      <c r="C236" s="21" t="n">
        <f aca="false">calc!$D$236</f>
        <v>23</v>
      </c>
      <c r="D236" s="21" t="n">
        <f aca="false">calc!$E$236</f>
        <v>8</v>
      </c>
      <c r="E236" s="21" t="n">
        <v>235</v>
      </c>
      <c r="F236" s="98" t="n">
        <f aca="false">calc!$X$236</f>
        <v>101.553593253324</v>
      </c>
      <c r="G236" s="99" t="n">
        <f aca="false">IF(ABS(F236-F235)&lt;100,F236,"")</f>
        <v>101.553593253324</v>
      </c>
      <c r="H236" s="24" t="n">
        <f aca="false">calc!$Z$236</f>
        <v>4.10204340428872</v>
      </c>
      <c r="M236" s="24" t="str">
        <f aca="false">IF(OR(K236="",L236=""),"",K236+L236)</f>
        <v/>
      </c>
    </row>
    <row r="237" customFormat="false" ht="17.75" hidden="false" customHeight="true" outlineLevel="0" collapsed="false">
      <c r="C237" s="21" t="n">
        <f aca="false">calc!$D$237</f>
        <v>24</v>
      </c>
      <c r="D237" s="21" t="n">
        <f aca="false">calc!$E$237</f>
        <v>8</v>
      </c>
      <c r="E237" s="21" t="n">
        <v>236</v>
      </c>
      <c r="F237" s="98" t="n">
        <f aca="false">calc!$X$237</f>
        <v>113.436608639672</v>
      </c>
      <c r="G237" s="99" t="n">
        <f aca="false">IF(ABS(F237-F236)&lt;100,F237,"")</f>
        <v>113.436608639672</v>
      </c>
      <c r="H237" s="24" t="n">
        <f aca="false">calc!$Z$237</f>
        <v>4.61064030394165</v>
      </c>
      <c r="M237" s="24" t="str">
        <f aca="false">IF(OR(K237="",L237=""),"",K237+L237)</f>
        <v/>
      </c>
    </row>
    <row r="238" customFormat="false" ht="17.75" hidden="false" customHeight="true" outlineLevel="0" collapsed="false">
      <c r="C238" s="21" t="n">
        <f aca="false">calc!$D$238</f>
        <v>25</v>
      </c>
      <c r="D238" s="21" t="n">
        <f aca="false">calc!$E$238</f>
        <v>8</v>
      </c>
      <c r="E238" s="21" t="n">
        <v>237</v>
      </c>
      <c r="F238" s="98" t="n">
        <f aca="false">calc!$X$238</f>
        <v>125.416093794223</v>
      </c>
      <c r="G238" s="99" t="n">
        <f aca="false">IF(ABS(F238-F237)&lt;100,F238,"")</f>
        <v>125.416093794223</v>
      </c>
      <c r="H238" s="24" t="n">
        <f aca="false">calc!$Z$238</f>
        <v>4.92054972842456</v>
      </c>
      <c r="M238" s="24" t="str">
        <f aca="false">IF(OR(K238="",L238=""),"",K238+L238)</f>
        <v/>
      </c>
    </row>
    <row r="239" customFormat="false" ht="17.75" hidden="false" customHeight="true" outlineLevel="0" collapsed="false">
      <c r="C239" s="21" t="n">
        <f aca="false">calc!$D$239</f>
        <v>26</v>
      </c>
      <c r="D239" s="21" t="n">
        <f aca="false">calc!$E$239</f>
        <v>8</v>
      </c>
      <c r="E239" s="21" t="n">
        <v>238</v>
      </c>
      <c r="F239" s="98" t="n">
        <f aca="false">calc!$X$239</f>
        <v>137.526262188857</v>
      </c>
      <c r="G239" s="99" t="n">
        <f aca="false">IF(ABS(F239-F238)&lt;100,F239,"")</f>
        <v>137.526262188857</v>
      </c>
      <c r="H239" s="24" t="n">
        <f aca="false">calc!$Z$239</f>
        <v>5.01369403355416</v>
      </c>
      <c r="M239" s="24" t="str">
        <f aca="false">IF(OR(K239="",L239=""),"",K239+L239)</f>
        <v/>
      </c>
    </row>
    <row r="240" customFormat="false" ht="17.75" hidden="false" customHeight="true" outlineLevel="0" collapsed="false">
      <c r="C240" s="21" t="n">
        <f aca="false">calc!$D$240</f>
        <v>27</v>
      </c>
      <c r="D240" s="21" t="n">
        <f aca="false">calc!$E$240</f>
        <v>8</v>
      </c>
      <c r="E240" s="21" t="n">
        <v>239</v>
      </c>
      <c r="F240" s="98" t="n">
        <f aca="false">calc!$X$240</f>
        <v>149.790328604439</v>
      </c>
      <c r="G240" s="99" t="n">
        <f aca="false">IF(ABS(F240-F239)&lt;100,F240,"")</f>
        <v>149.790328604439</v>
      </c>
      <c r="H240" s="24" t="n">
        <f aca="false">calc!$Z$240</f>
        <v>4.87827532008312</v>
      </c>
      <c r="M240" s="24" t="str">
        <f aca="false">IF(OR(K240="",L240=""),"",K240+L240)</f>
        <v/>
      </c>
    </row>
    <row r="241" customFormat="false" ht="17.75" hidden="false" customHeight="true" outlineLevel="0" collapsed="false">
      <c r="C241" s="21" t="n">
        <f aca="false">calc!$D$241</f>
        <v>28</v>
      </c>
      <c r="D241" s="21" t="n">
        <f aca="false">calc!$E$241</f>
        <v>8</v>
      </c>
      <c r="E241" s="21" t="n">
        <v>240</v>
      </c>
      <c r="F241" s="98" t="n">
        <f aca="false">calc!$X$241</f>
        <v>162.222505952044</v>
      </c>
      <c r="G241" s="99" t="n">
        <f aca="false">IF(ABS(F241-F240)&lt;100,F241,"")</f>
        <v>162.222505952044</v>
      </c>
      <c r="H241" s="24" t="n">
        <f aca="false">calc!$Z$241</f>
        <v>4.51078487439744</v>
      </c>
      <c r="M241" s="24" t="str">
        <f aca="false">IF(OR(K241="",L241=""),"",K241+L241)</f>
        <v/>
      </c>
    </row>
    <row r="242" customFormat="false" ht="17.75" hidden="false" customHeight="true" outlineLevel="0" collapsed="false">
      <c r="C242" s="21" t="n">
        <f aca="false">calc!$D$242</f>
        <v>29</v>
      </c>
      <c r="D242" s="21" t="n">
        <f aca="false">calc!$E$242</f>
        <v>8</v>
      </c>
      <c r="E242" s="21" t="n">
        <v>241</v>
      </c>
      <c r="F242" s="98" t="n">
        <f aca="false">calc!$X$242</f>
        <v>174.830629892813</v>
      </c>
      <c r="G242" s="99" t="n">
        <f aca="false">IF(ABS(F242-F241)&lt;100,F242,"")</f>
        <v>174.830629892813</v>
      </c>
      <c r="H242" s="24" t="n">
        <f aca="false">calc!$Z$242</f>
        <v>3.91806658711446</v>
      </c>
      <c r="M242" s="24" t="str">
        <f aca="false">IF(OR(K242="",L242=""),"",K242+L242)</f>
        <v/>
      </c>
    </row>
    <row r="243" customFormat="false" ht="17.75" hidden="false" customHeight="true" outlineLevel="0" collapsed="false">
      <c r="C243" s="21" t="n">
        <f aca="false">calc!$D$243</f>
        <v>30</v>
      </c>
      <c r="D243" s="21" t="n">
        <f aca="false">calc!$E$243</f>
        <v>8</v>
      </c>
      <c r="E243" s="21" t="n">
        <v>242</v>
      </c>
      <c r="F243" s="98" t="n">
        <f aca="false">calc!$X$243</f>
        <v>187.61969710353</v>
      </c>
      <c r="G243" s="99" t="n">
        <f aca="false">IF(ABS(F243-F242)&lt;100,F243,"")</f>
        <v>187.61969710353</v>
      </c>
      <c r="H243" s="24" t="n">
        <f aca="false">calc!$Z$243</f>
        <v>3.11894162738318</v>
      </c>
      <c r="M243" s="24" t="str">
        <f aca="false">IF(OR(K243="",L243=""),"",K243+L243)</f>
        <v/>
      </c>
    </row>
    <row r="244" customFormat="false" ht="17.75" hidden="false" customHeight="true" outlineLevel="0" collapsed="false">
      <c r="C244" s="21" t="n">
        <f aca="false">calc!$D$244</f>
        <v>31</v>
      </c>
      <c r="D244" s="21" t="n">
        <f aca="false">calc!$E$244</f>
        <v>8</v>
      </c>
      <c r="E244" s="21" t="n">
        <v>243</v>
      </c>
      <c r="F244" s="98" t="n">
        <f aca="false">calc!$X$244</f>
        <v>200.595969009998</v>
      </c>
      <c r="G244" s="99" t="n">
        <f aca="false">IF(ABS(F244-F243)&lt;100,F244,"")</f>
        <v>200.595969009998</v>
      </c>
      <c r="H244" s="24" t="n">
        <f aca="false">calc!$Z$244</f>
        <v>2.14490397980481</v>
      </c>
      <c r="M244" s="24" t="str">
        <f aca="false">IF(OR(K244="",L244=""),"",K244+L244)</f>
        <v/>
      </c>
    </row>
    <row r="245" customFormat="false" ht="17.75" hidden="false" customHeight="true" outlineLevel="0" collapsed="false">
      <c r="C245" s="21" t="n">
        <f aca="false">calc!$D$245</f>
        <v>1</v>
      </c>
      <c r="D245" s="21" t="n">
        <f aca="false">calc!$E$245</f>
        <v>9</v>
      </c>
      <c r="E245" s="21" t="n">
        <v>244</v>
      </c>
      <c r="F245" s="98" t="n">
        <f aca="false">calc!$X$245</f>
        <v>213.770485842731</v>
      </c>
      <c r="G245" s="99" t="n">
        <f aca="false">IF(ABS(F245-F244)&lt;100,F245,"")</f>
        <v>213.770485842731</v>
      </c>
      <c r="H245" s="24" t="n">
        <f aca="false">calc!$Z$245</f>
        <v>1.03967375568635</v>
      </c>
      <c r="M245" s="24" t="str">
        <f aca="false">IF(OR(K245="",L245=""),"",K245+L245)</f>
        <v/>
      </c>
    </row>
    <row r="246" customFormat="false" ht="17.75" hidden="false" customHeight="true" outlineLevel="0" collapsed="false">
      <c r="C246" s="21" t="n">
        <f aca="false">calc!$D$246</f>
        <v>2</v>
      </c>
      <c r="D246" s="21" t="n">
        <f aca="false">calc!$E$246</f>
        <v>9</v>
      </c>
      <c r="E246" s="21" t="n">
        <v>245</v>
      </c>
      <c r="F246" s="98" t="n">
        <f aca="false">calc!$X$246</f>
        <v>227.160337277664</v>
      </c>
      <c r="G246" s="99" t="n">
        <f aca="false">IF(ABS(F246-F245)&lt;100,F246,"")</f>
        <v>227.160337277664</v>
      </c>
      <c r="H246" s="24" t="n">
        <f aca="false">calc!$Z$246</f>
        <v>-0.142201281321635</v>
      </c>
      <c r="M246" s="24" t="str">
        <f aca="false">IF(OR(K246="",L246=""),"",K246+L246)</f>
        <v/>
      </c>
    </row>
    <row r="247" customFormat="false" ht="17.75" hidden="false" customHeight="true" outlineLevel="0" collapsed="false">
      <c r="C247" s="21" t="n">
        <f aca="false">calc!$D$247</f>
        <v>3</v>
      </c>
      <c r="D247" s="21" t="n">
        <f aca="false">calc!$E$247</f>
        <v>9</v>
      </c>
      <c r="E247" s="21" t="n">
        <v>246</v>
      </c>
      <c r="F247" s="98" t="n">
        <f aca="false">calc!$X$247</f>
        <v>240.786231857038</v>
      </c>
      <c r="G247" s="99" t="n">
        <f aca="false">IF(ABS(F247-F246)&lt;100,F247,"")</f>
        <v>240.786231857038</v>
      </c>
      <c r="H247" s="24" t="n">
        <f aca="false">calc!$Z$247</f>
        <v>-1.33729868442479</v>
      </c>
      <c r="M247" s="24" t="str">
        <f aca="false">IF(OR(K247="",L247=""),"",K247+L247)</f>
        <v/>
      </c>
    </row>
    <row r="248" customFormat="false" ht="17.75" hidden="false" customHeight="true" outlineLevel="0" collapsed="false">
      <c r="C248" s="21" t="n">
        <f aca="false">calc!$D$248</f>
        <v>4</v>
      </c>
      <c r="D248" s="21" t="n">
        <f aca="false">calc!$E$248</f>
        <v>9</v>
      </c>
      <c r="E248" s="21" t="n">
        <v>247</v>
      </c>
      <c r="F248" s="98" t="n">
        <f aca="false">calc!$X$248</f>
        <v>254.665893115604</v>
      </c>
      <c r="G248" s="99" t="n">
        <f aca="false">IF(ABS(F248-F247)&lt;100,F248,"")</f>
        <v>254.665893115604</v>
      </c>
      <c r="H248" s="24" t="n">
        <f aca="false">calc!$Z$248</f>
        <v>-2.47566376172498</v>
      </c>
      <c r="M248" s="24" t="str">
        <f aca="false">IF(OR(K248="",L248=""),"",K248+L248)</f>
        <v/>
      </c>
    </row>
    <row r="249" customFormat="false" ht="17.75" hidden="false" customHeight="true" outlineLevel="0" collapsed="false">
      <c r="C249" s="21" t="n">
        <f aca="false">calc!$D$249</f>
        <v>5</v>
      </c>
      <c r="D249" s="21" t="n">
        <f aca="false">calc!$E$249</f>
        <v>9</v>
      </c>
      <c r="E249" s="21" t="n">
        <v>248</v>
      </c>
      <c r="F249" s="98" t="n">
        <f aca="false">calc!$X$249</f>
        <v>268.804316058001</v>
      </c>
      <c r="G249" s="99" t="n">
        <f aca="false">IF(ABS(F249-F248)&lt;100,F249,"")</f>
        <v>268.804316058001</v>
      </c>
      <c r="H249" s="24" t="n">
        <f aca="false">calc!$Z$249</f>
        <v>-3.48395419753502</v>
      </c>
      <c r="M249" s="24" t="str">
        <f aca="false">IF(OR(K249="",L249=""),"",K249+L249)</f>
        <v/>
      </c>
    </row>
    <row r="250" customFormat="false" ht="17.75" hidden="false" customHeight="true" outlineLevel="0" collapsed="false">
      <c r="C250" s="21" t="n">
        <f aca="false">calc!$D$250</f>
        <v>6</v>
      </c>
      <c r="D250" s="21" t="n">
        <f aca="false">calc!$E$250</f>
        <v>9</v>
      </c>
      <c r="E250" s="21" t="n">
        <v>249</v>
      </c>
      <c r="F250" s="98" t="n">
        <f aca="false">calc!$X$250</f>
        <v>283.183393035323</v>
      </c>
      <c r="G250" s="99" t="n">
        <f aca="false">IF(ABS(F250-F249)&lt;100,F250,"")</f>
        <v>283.183393035323</v>
      </c>
      <c r="H250" s="24" t="n">
        <f aca="false">calc!$Z$250</f>
        <v>-4.29025590021782</v>
      </c>
      <c r="M250" s="24" t="str">
        <f aca="false">IF(OR(K250="",L250=""),"",K250+L250)</f>
        <v/>
      </c>
    </row>
    <row r="251" customFormat="false" ht="17.75" hidden="false" customHeight="true" outlineLevel="0" collapsed="false">
      <c r="C251" s="21" t="n">
        <f aca="false">calc!$D$251</f>
        <v>7</v>
      </c>
      <c r="D251" s="21" t="n">
        <f aca="false">calc!$E$251</f>
        <v>9</v>
      </c>
      <c r="E251" s="21" t="n">
        <v>250</v>
      </c>
      <c r="F251" s="98" t="n">
        <f aca="false">calc!$X$251</f>
        <v>297.754245719867</v>
      </c>
      <c r="G251" s="99" t="n">
        <f aca="false">IF(ABS(F251-F250)&lt;100,F251,"")</f>
        <v>297.754245719867</v>
      </c>
      <c r="H251" s="24" t="n">
        <f aca="false">calc!$Z$251</f>
        <v>-4.83119719663548</v>
      </c>
      <c r="M251" s="24" t="str">
        <f aca="false">IF(OR(K251="",L251=""),"",K251+L251)</f>
        <v/>
      </c>
    </row>
    <row r="252" customFormat="false" ht="17.75" hidden="false" customHeight="true" outlineLevel="0" collapsed="false">
      <c r="C252" s="21" t="n">
        <f aca="false">calc!$D$252</f>
        <v>8</v>
      </c>
      <c r="D252" s="21" t="n">
        <f aca="false">calc!$E$252</f>
        <v>9</v>
      </c>
      <c r="E252" s="21" t="n">
        <v>251</v>
      </c>
      <c r="F252" s="98" t="n">
        <f aca="false">calc!$X$252</f>
        <v>312.435351759113</v>
      </c>
      <c r="G252" s="99" t="n">
        <f aca="false">IF(ABS(F252-F251)&lt;100,F252,"")</f>
        <v>312.435351759113</v>
      </c>
      <c r="H252" s="24" t="n">
        <f aca="false">calc!$Z$252</f>
        <v>-5.06081572792105</v>
      </c>
      <c r="M252" s="24" t="str">
        <f aca="false">IF(OR(K252="",L252=""),"",K252+L252)</f>
        <v/>
      </c>
    </row>
    <row r="253" customFormat="false" ht="17.75" hidden="false" customHeight="true" outlineLevel="0" collapsed="false">
      <c r="C253" s="21" t="n">
        <f aca="false">calc!$D$253</f>
        <v>9</v>
      </c>
      <c r="D253" s="21" t="n">
        <f aca="false">calc!$E$253</f>
        <v>9</v>
      </c>
      <c r="E253" s="21" t="n">
        <v>252</v>
      </c>
      <c r="F253" s="98" t="n">
        <f aca="false">calc!$X$253</f>
        <v>327.118185439084</v>
      </c>
      <c r="G253" s="99" t="n">
        <f aca="false">IF(ABS(F253-F252)&lt;100,F253,"")</f>
        <v>327.118185439084</v>
      </c>
      <c r="H253" s="24" t="n">
        <f aca="false">calc!$Z$253</f>
        <v>-4.95900790005629</v>
      </c>
      <c r="M253" s="24" t="str">
        <f aca="false">IF(OR(K253="",L253=""),"",K253+L253)</f>
        <v/>
      </c>
    </row>
    <row r="254" customFormat="false" ht="17.75" hidden="false" customHeight="true" outlineLevel="0" collapsed="false">
      <c r="C254" s="21" t="n">
        <f aca="false">calc!$D$254</f>
        <v>10</v>
      </c>
      <c r="D254" s="21" t="n">
        <f aca="false">calc!$E$254</f>
        <v>9</v>
      </c>
      <c r="E254" s="21" t="n">
        <v>253</v>
      </c>
      <c r="F254" s="98" t="n">
        <f aca="false">calc!$X$254</f>
        <v>341.679985409982</v>
      </c>
      <c r="G254" s="99" t="n">
        <f aca="false">IF(ABS(F254-F253)&lt;100,F254,"")</f>
        <v>341.679985409982</v>
      </c>
      <c r="H254" s="24" t="n">
        <f aca="false">calc!$Z$254</f>
        <v>-4.53641559839145</v>
      </c>
      <c r="M254" s="24" t="str">
        <f aca="false">IF(OR(K254="",L254=""),"",K254+L254)</f>
        <v/>
      </c>
    </row>
    <row r="255" customFormat="false" ht="17.75" hidden="false" customHeight="true" outlineLevel="0" collapsed="false">
      <c r="C255" s="21" t="n">
        <f aca="false">calc!$D$255</f>
        <v>11</v>
      </c>
      <c r="D255" s="21" t="n">
        <f aca="false">calc!$E$255</f>
        <v>9</v>
      </c>
      <c r="E255" s="21" t="n">
        <v>254</v>
      </c>
      <c r="F255" s="98" t="n">
        <f aca="false">calc!$X$255</f>
        <v>356.001108315742</v>
      </c>
      <c r="G255" s="99" t="n">
        <f aca="false">IF(ABS(F255-F254)&lt;100,F255,"")</f>
        <v>356.001108315742</v>
      </c>
      <c r="H255" s="24" t="n">
        <f aca="false">calc!$Z$255</f>
        <v>-3.83327860591486</v>
      </c>
      <c r="M255" s="24" t="str">
        <f aca="false">IF(OR(K255="",L255=""),"",K255+L255)</f>
        <v/>
      </c>
    </row>
    <row r="256" customFormat="false" ht="17.75" hidden="false" customHeight="true" outlineLevel="0" collapsed="false">
      <c r="C256" s="21" t="n">
        <f aca="false">calc!$D$256</f>
        <v>12</v>
      </c>
      <c r="D256" s="21" t="n">
        <f aca="false">calc!$E$256</f>
        <v>9</v>
      </c>
      <c r="E256" s="21" t="n">
        <v>255</v>
      </c>
      <c r="F256" s="98" t="n">
        <f aca="false">calc!$X$256</f>
        <v>9.98296818791587</v>
      </c>
      <c r="G256" s="99" t="str">
        <f aca="false">IF(ABS(F256-F255)&lt;100,F256,"")</f>
        <v/>
      </c>
      <c r="H256" s="24" t="n">
        <f aca="false">calc!$Z$256</f>
        <v>-2.91207298652939</v>
      </c>
      <c r="M256" s="24" t="str">
        <f aca="false">IF(OR(K256="",L256=""),"",K256+L256)</f>
        <v/>
      </c>
    </row>
    <row r="257" customFormat="false" ht="17.75" hidden="false" customHeight="true" outlineLevel="0" collapsed="false">
      <c r="C257" s="21" t="n">
        <f aca="false">calc!$D$257</f>
        <v>13</v>
      </c>
      <c r="D257" s="21" t="n">
        <f aca="false">calc!$E$257</f>
        <v>9</v>
      </c>
      <c r="E257" s="21" t="n">
        <v>256</v>
      </c>
      <c r="F257" s="98" t="n">
        <f aca="false">calc!$X$257</f>
        <v>23.562314802278</v>
      </c>
      <c r="G257" s="99" t="n">
        <f aca="false">IF(ABS(F257-F256)&lt;100,F257,"")</f>
        <v>23.562314802278</v>
      </c>
      <c r="H257" s="24" t="n">
        <f aca="false">calc!$Z$257</f>
        <v>-1.84638245026183</v>
      </c>
      <c r="M257" s="24" t="str">
        <f aca="false">IF(OR(K257="",L257=""),"",K257+L257)</f>
        <v/>
      </c>
    </row>
    <row r="258" customFormat="false" ht="17.75" hidden="false" customHeight="true" outlineLevel="0" collapsed="false">
      <c r="C258" s="21" t="n">
        <f aca="false">calc!$D$258</f>
        <v>14</v>
      </c>
      <c r="D258" s="21" t="n">
        <f aca="false">calc!$E$258</f>
        <v>9</v>
      </c>
      <c r="E258" s="21" t="n">
        <v>257</v>
      </c>
      <c r="F258" s="98" t="n">
        <f aca="false">calc!$X$258</f>
        <v>36.7186622857941</v>
      </c>
      <c r="G258" s="99" t="n">
        <f aca="false">IF(ABS(F258-F257)&lt;100,F258,"")</f>
        <v>36.7186622857941</v>
      </c>
      <c r="H258" s="24" t="n">
        <f aca="false">calc!$Z$258</f>
        <v>-0.709790538440304</v>
      </c>
      <c r="M258" s="24" t="str">
        <f aca="false">IF(OR(K258="",L258=""),"",K258+L258)</f>
        <v/>
      </c>
    </row>
    <row r="259" customFormat="false" ht="17.75" hidden="false" customHeight="true" outlineLevel="0" collapsed="false">
      <c r="C259" s="21" t="n">
        <f aca="false">calc!$D$259</f>
        <v>15</v>
      </c>
      <c r="D259" s="21" t="n">
        <f aca="false">calc!$E$259</f>
        <v>9</v>
      </c>
      <c r="E259" s="21" t="n">
        <v>258</v>
      </c>
      <c r="F259" s="98" t="n">
        <f aca="false">calc!$X$259</f>
        <v>49.4736723259138</v>
      </c>
      <c r="G259" s="99" t="n">
        <f aca="false">IF(ABS(F259-F258)&lt;100,F259,"")</f>
        <v>49.4736723259138</v>
      </c>
      <c r="H259" s="24" t="n">
        <f aca="false">calc!$Z$259</f>
        <v>0.432044213841358</v>
      </c>
      <c r="M259" s="24" t="str">
        <f aca="false">IF(OR(K259="",L259=""),"",K259+L259)</f>
        <v/>
      </c>
    </row>
    <row r="260" customFormat="false" ht="17.75" hidden="false" customHeight="true" outlineLevel="0" collapsed="false">
      <c r="C260" s="21" t="n">
        <f aca="false">calc!$D$260</f>
        <v>16</v>
      </c>
      <c r="D260" s="21" t="n">
        <f aca="false">calc!$E$260</f>
        <v>9</v>
      </c>
      <c r="E260" s="21" t="n">
        <v>259</v>
      </c>
      <c r="F260" s="98" t="n">
        <f aca="false">calc!$X$260</f>
        <v>61.8835316223287</v>
      </c>
      <c r="G260" s="99" t="n">
        <f aca="false">IF(ABS(F260-F259)&lt;100,F260,"")</f>
        <v>61.8835316223287</v>
      </c>
      <c r="H260" s="24" t="n">
        <f aca="false">calc!$Z$260</f>
        <v>1.52488862696102</v>
      </c>
      <c r="M260" s="24" t="str">
        <f aca="false">IF(OR(K260="",L260=""),"",K260+L260)</f>
        <v/>
      </c>
    </row>
    <row r="261" customFormat="false" ht="17.75" hidden="false" customHeight="true" outlineLevel="0" collapsed="false">
      <c r="C261" s="21" t="n">
        <f aca="false">calc!$D$261</f>
        <v>17</v>
      </c>
      <c r="D261" s="21" t="n">
        <f aca="false">calc!$E$261</f>
        <v>9</v>
      </c>
      <c r="E261" s="21" t="n">
        <v>260</v>
      </c>
      <c r="F261" s="98" t="n">
        <f aca="false">calc!$X$261</f>
        <v>74.0270865447442</v>
      </c>
      <c r="G261" s="99" t="n">
        <f aca="false">IF(ABS(F261-F260)&lt;100,F261,"")</f>
        <v>74.0270865447442</v>
      </c>
      <c r="H261" s="24" t="n">
        <f aca="false">calc!$Z$261</f>
        <v>2.52568977293218</v>
      </c>
      <c r="M261" s="24" t="str">
        <f aca="false">IF(OR(K261="",L261=""),"",K261+L261)</f>
        <v/>
      </c>
    </row>
    <row r="262" customFormat="false" ht="17.75" hidden="false" customHeight="true" outlineLevel="0" collapsed="false">
      <c r="C262" s="21" t="n">
        <f aca="false">calc!$D$262</f>
        <v>18</v>
      </c>
      <c r="D262" s="21" t="n">
        <f aca="false">calc!$E$262</f>
        <v>9</v>
      </c>
      <c r="E262" s="21" t="n">
        <v>261</v>
      </c>
      <c r="F262" s="98" t="n">
        <f aca="false">calc!$X$262</f>
        <v>85.993174446435</v>
      </c>
      <c r="G262" s="99" t="n">
        <f aca="false">IF(ABS(F262-F261)&lt;100,F262,"")</f>
        <v>85.993174446435</v>
      </c>
      <c r="H262" s="24" t="n">
        <f aca="false">calc!$Z$262</f>
        <v>3.40027106254943</v>
      </c>
      <c r="M262" s="24" t="str">
        <f aca="false">IF(OR(K262="",L262=""),"",K262+L262)</f>
        <v/>
      </c>
    </row>
    <row r="263" customFormat="false" ht="17.75" hidden="false" customHeight="true" outlineLevel="0" collapsed="false">
      <c r="C263" s="21" t="n">
        <f aca="false">calc!$D$263</f>
        <v>19</v>
      </c>
      <c r="D263" s="21" t="n">
        <f aca="false">calc!$E$263</f>
        <v>9</v>
      </c>
      <c r="E263" s="21" t="n">
        <v>262</v>
      </c>
      <c r="F263" s="98" t="n">
        <f aca="false">calc!$X$263</f>
        <v>97.8700952061703</v>
      </c>
      <c r="G263" s="99" t="n">
        <f aca="false">IF(ABS(F263-F262)&lt;100,F263,"")</f>
        <v>97.8700952061703</v>
      </c>
      <c r="H263" s="24" t="n">
        <f aca="false">calc!$Z$263</f>
        <v>4.12063477168085</v>
      </c>
      <c r="M263" s="24" t="str">
        <f aca="false">IF(OR(K263="",L263=""),"",K263+L263)</f>
        <v/>
      </c>
    </row>
    <row r="264" customFormat="false" ht="17.75" hidden="false" customHeight="true" outlineLevel="0" collapsed="false">
      <c r="C264" s="21" t="n">
        <f aca="false">calc!$D$264</f>
        <v>20</v>
      </c>
      <c r="D264" s="21" t="n">
        <f aca="false">calc!$E$264</f>
        <v>9</v>
      </c>
      <c r="E264" s="21" t="n">
        <v>263</v>
      </c>
      <c r="F264" s="98" t="n">
        <f aca="false">calc!$X$264</f>
        <v>109.738808655703</v>
      </c>
      <c r="G264" s="99" t="n">
        <f aca="false">IF(ABS(F264-F263)&lt;100,F264,"")</f>
        <v>109.738808655703</v>
      </c>
      <c r="H264" s="24" t="n">
        <f aca="false">calc!$Z$264</f>
        <v>4.6629230651851</v>
      </c>
      <c r="M264" s="24" t="str">
        <f aca="false">IF(OR(K264="",L264=""),"",K264+L264)</f>
        <v/>
      </c>
    </row>
    <row r="265" customFormat="false" ht="17.75" hidden="false" customHeight="true" outlineLevel="0" collapsed="false">
      <c r="C265" s="21" t="n">
        <f aca="false">calc!$D$265</f>
        <v>21</v>
      </c>
      <c r="D265" s="21" t="n">
        <f aca="false">calc!$E$265</f>
        <v>9</v>
      </c>
      <c r="E265" s="21" t="n">
        <v>264</v>
      </c>
      <c r="F265" s="98" t="n">
        <f aca="false">calc!$X$265</f>
        <v>121.669826217121</v>
      </c>
      <c r="G265" s="99" t="n">
        <f aca="false">IF(ABS(F265-F264)&lt;100,F265,"")</f>
        <v>121.669826217121</v>
      </c>
      <c r="H265" s="24" t="n">
        <f aca="false">calc!$Z$265</f>
        <v>5.00642289986796</v>
      </c>
      <c r="M265" s="24" t="str">
        <f aca="false">IF(OR(K265="",L265=""),"",K265+L265)</f>
        <v/>
      </c>
    </row>
    <row r="266" customFormat="false" ht="17.75" hidden="false" customHeight="true" outlineLevel="0" collapsed="false">
      <c r="C266" s="21" t="n">
        <f aca="false">calc!$D$266</f>
        <v>22</v>
      </c>
      <c r="D266" s="21" t="n">
        <f aca="false">calc!$E$266</f>
        <v>9</v>
      </c>
      <c r="E266" s="21" t="n">
        <v>265</v>
      </c>
      <c r="F266" s="98" t="n">
        <f aca="false">calc!$X$266</f>
        <v>133.722531177575</v>
      </c>
      <c r="G266" s="99" t="n">
        <f aca="false">IF(ABS(F266-F265)&lt;100,F266,"")</f>
        <v>133.722531177575</v>
      </c>
      <c r="H266" s="24" t="n">
        <f aca="false">calc!$Z$266</f>
        <v>5.13361240932328</v>
      </c>
      <c r="M266" s="24" t="str">
        <f aca="false">IF(OR(K266="",L266=""),"",K266+L266)</f>
        <v/>
      </c>
    </row>
    <row r="267" customFormat="false" ht="17.75" hidden="false" customHeight="true" outlineLevel="0" collapsed="false">
      <c r="C267" s="21" t="n">
        <f aca="false">calc!$D$267</f>
        <v>23</v>
      </c>
      <c r="D267" s="21" t="n">
        <f aca="false">calc!$E$267</f>
        <v>9</v>
      </c>
      <c r="E267" s="21" t="n">
        <v>266</v>
      </c>
      <c r="F267" s="98" t="n">
        <f aca="false">calc!$X$267</f>
        <v>145.945238076671</v>
      </c>
      <c r="G267" s="99" t="n">
        <f aca="false">IF(ABS(F267-F266)&lt;100,F267,"")</f>
        <v>145.945238076671</v>
      </c>
      <c r="H267" s="24" t="n">
        <f aca="false">calc!$Z$267</f>
        <v>5.03117416142519</v>
      </c>
      <c r="M267" s="24" t="str">
        <f aca="false">IF(OR(K267="",L267=""),"",K267+L267)</f>
        <v/>
      </c>
    </row>
    <row r="268" customFormat="false" ht="17.75" hidden="false" customHeight="true" outlineLevel="0" collapsed="false">
      <c r="C268" s="21" t="n">
        <f aca="false">calc!$D$268</f>
        <v>24</v>
      </c>
      <c r="D268" s="21" t="n">
        <f aca="false">calc!$E$268</f>
        <v>9</v>
      </c>
      <c r="E268" s="21" t="n">
        <v>267</v>
      </c>
      <c r="F268" s="98" t="n">
        <f aca="false">calc!$X$268</f>
        <v>158.374740299578</v>
      </c>
      <c r="G268" s="99" t="n">
        <f aca="false">IF(ABS(F268-F267)&lt;100,F268,"")</f>
        <v>158.374740299578</v>
      </c>
      <c r="H268" s="24" t="n">
        <f aca="false">calc!$Z$268</f>
        <v>4.69195426355249</v>
      </c>
      <c r="M268" s="24" t="str">
        <f aca="false">IF(OR(K268="",L268=""),"",K268+L268)</f>
        <v/>
      </c>
    </row>
    <row r="269" customFormat="false" ht="17.75" hidden="false" customHeight="true" outlineLevel="0" collapsed="false">
      <c r="C269" s="21" t="n">
        <f aca="false">calc!$D$269</f>
        <v>25</v>
      </c>
      <c r="D269" s="21" t="n">
        <f aca="false">calc!$E$269</f>
        <v>9</v>
      </c>
      <c r="E269" s="21" t="n">
        <v>268</v>
      </c>
      <c r="F269" s="98" t="n">
        <f aca="false">calc!$X$269</f>
        <v>171.035077507749</v>
      </c>
      <c r="G269" s="99" t="n">
        <f aca="false">IF(ABS(F269-F268)&lt;100,F269,"")</f>
        <v>171.035077507749</v>
      </c>
      <c r="H269" s="24" t="n">
        <f aca="false">calc!$Z$269</f>
        <v>4.11777296505744</v>
      </c>
      <c r="M269" s="24" t="str">
        <f aca="false">IF(OR(K269="",L269=""),"",K269+L269)</f>
        <v/>
      </c>
    </row>
    <row r="270" customFormat="false" ht="17.75" hidden="false" customHeight="true" outlineLevel="0" collapsed="false">
      <c r="C270" s="21" t="n">
        <f aca="false">calc!$D$270</f>
        <v>26</v>
      </c>
      <c r="D270" s="21" t="n">
        <f aca="false">calc!$E$270</f>
        <v>9</v>
      </c>
      <c r="E270" s="21" t="n">
        <v>269</v>
      </c>
      <c r="F270" s="98" t="n">
        <f aca="false">calc!$X$270</f>
        <v>183.936247926115</v>
      </c>
      <c r="G270" s="99" t="n">
        <f aca="false">IF(ABS(F270-F269)&lt;100,F270,"")</f>
        <v>183.936247926115</v>
      </c>
      <c r="H270" s="24" t="n">
        <f aca="false">calc!$Z$270</f>
        <v>3.32266460333891</v>
      </c>
      <c r="M270" s="24" t="str">
        <f aca="false">IF(OR(K270="",L270=""),"",K270+L270)</f>
        <v/>
      </c>
    </row>
    <row r="271" customFormat="false" ht="17.75" hidden="false" customHeight="true" outlineLevel="0" collapsed="false">
      <c r="C271" s="21" t="n">
        <f aca="false">calc!$D$271</f>
        <v>27</v>
      </c>
      <c r="D271" s="21" t="n">
        <f aca="false">calc!$E$271</f>
        <v>9</v>
      </c>
      <c r="E271" s="21" t="n">
        <v>270</v>
      </c>
      <c r="F271" s="98" t="n">
        <f aca="false">calc!$X$271</f>
        <v>197.07408896671</v>
      </c>
      <c r="G271" s="99" t="n">
        <f aca="false">IF(ABS(F271-F270)&lt;100,F271,"")</f>
        <v>197.07408896671</v>
      </c>
      <c r="H271" s="24" t="n">
        <f aca="false">calc!$Z$271</f>
        <v>2.33566104846765</v>
      </c>
      <c r="M271" s="24" t="str">
        <f aca="false">IF(OR(K271="",L271=""),"",K271+L271)</f>
        <v/>
      </c>
    </row>
    <row r="272" customFormat="false" ht="17.75" hidden="false" customHeight="true" outlineLevel="0" collapsed="false">
      <c r="C272" s="21" t="n">
        <f aca="false">calc!$D$272</f>
        <v>28</v>
      </c>
      <c r="D272" s="21" t="n">
        <f aca="false">calc!$E$272</f>
        <v>9</v>
      </c>
      <c r="E272" s="21" t="n">
        <v>271</v>
      </c>
      <c r="F272" s="98" t="n">
        <f aca="false">calc!$X$272</f>
        <v>210.43229788039</v>
      </c>
      <c r="G272" s="99" t="n">
        <f aca="false">IF(ABS(F272-F271)&lt;100,F272,"")</f>
        <v>210.43229788039</v>
      </c>
      <c r="H272" s="24" t="n">
        <f aca="false">calc!$Z$272</f>
        <v>1.20196270353243</v>
      </c>
      <c r="M272" s="24" t="str">
        <f aca="false">IF(OR(K272="",L272=""),"",K272+L272)</f>
        <v/>
      </c>
    </row>
    <row r="273" customFormat="false" ht="17.75" hidden="false" customHeight="true" outlineLevel="0" collapsed="false">
      <c r="C273" s="21" t="n">
        <f aca="false">calc!$D$273</f>
        <v>29</v>
      </c>
      <c r="D273" s="21" t="n">
        <f aca="false">calc!$E$273</f>
        <v>9</v>
      </c>
      <c r="E273" s="21" t="n">
        <v>272</v>
      </c>
      <c r="F273" s="98" t="n">
        <f aca="false">calc!$X$273</f>
        <v>223.986667552244</v>
      </c>
      <c r="G273" s="99" t="n">
        <f aca="false">IF(ABS(F273-F272)&lt;100,F273,"")</f>
        <v>223.986667552244</v>
      </c>
      <c r="H273" s="24" t="n">
        <f aca="false">calc!$Z$273</f>
        <v>-0.0184124435126651</v>
      </c>
      <c r="M273" s="24" t="str">
        <f aca="false">IF(OR(K273="",L273=""),"",K273+L273)</f>
        <v/>
      </c>
    </row>
    <row r="274" customFormat="false" ht="17.75" hidden="false" customHeight="true" outlineLevel="0" collapsed="false">
      <c r="C274" s="21" t="n">
        <f aca="false">calc!$D$274</f>
        <v>30</v>
      </c>
      <c r="D274" s="21" t="n">
        <f aca="false">calc!$E$274</f>
        <v>9</v>
      </c>
      <c r="E274" s="21" t="n">
        <v>273</v>
      </c>
      <c r="F274" s="98" t="n">
        <f aca="false">calc!$X$274</f>
        <v>237.710489223679</v>
      </c>
      <c r="G274" s="99" t="n">
        <f aca="false">IF(ABS(F274-F273)&lt;100,F274,"")</f>
        <v>237.710489223679</v>
      </c>
      <c r="H274" s="24" t="n">
        <f aca="false">calc!$Z$274</f>
        <v>-1.2546215738372</v>
      </c>
      <c r="M274" s="24" t="str">
        <f aca="false">IF(OR(K274="",L274=""),"",K274+L274)</f>
        <v/>
      </c>
    </row>
    <row r="275" customFormat="false" ht="17.75" hidden="false" customHeight="true" outlineLevel="0" collapsed="false">
      <c r="C275" s="21" t="n">
        <f aca="false">calc!$D$275</f>
        <v>1</v>
      </c>
      <c r="D275" s="21" t="n">
        <f aca="false">calc!$E$275</f>
        <v>10</v>
      </c>
      <c r="E275" s="21" t="n">
        <v>274</v>
      </c>
      <c r="F275" s="98" t="n">
        <f aca="false">calc!$X$275</f>
        <v>251.579269013405</v>
      </c>
      <c r="G275" s="99" t="n">
        <f aca="false">IF(ABS(F275-F274)&lt;100,F275,"")</f>
        <v>251.579269013405</v>
      </c>
      <c r="H275" s="24" t="n">
        <f aca="false">calc!$Z$275</f>
        <v>-2.4308106415102</v>
      </c>
      <c r="M275" s="24" t="str">
        <f aca="false">IF(OR(K275="",L275=""),"",K275+L275)</f>
        <v/>
      </c>
    </row>
    <row r="276" customFormat="false" ht="17.75" hidden="false" customHeight="true" outlineLevel="0" collapsed="false">
      <c r="C276" s="21" t="n">
        <f aca="false">calc!$D$276</f>
        <v>2</v>
      </c>
      <c r="D276" s="21" t="n">
        <f aca="false">calc!$E$276</f>
        <v>10</v>
      </c>
      <c r="E276" s="21" t="n">
        <v>275</v>
      </c>
      <c r="F276" s="98" t="n">
        <f aca="false">calc!$X$276</f>
        <v>265.572847804449</v>
      </c>
      <c r="G276" s="99" t="n">
        <f aca="false">IF(ABS(F276-F275)&lt;100,F276,"")</f>
        <v>265.572847804449</v>
      </c>
      <c r="H276" s="24" t="n">
        <f aca="false">calc!$Z$276</f>
        <v>-3.47241943770793</v>
      </c>
      <c r="M276" s="24" t="str">
        <f aca="false">IF(OR(K276="",L276=""),"",K276+L276)</f>
        <v/>
      </c>
    </row>
    <row r="277" customFormat="false" ht="17.75" hidden="false" customHeight="true" outlineLevel="0" collapsed="false">
      <c r="C277" s="21" t="n">
        <f aca="false">calc!$D$277</f>
        <v>3</v>
      </c>
      <c r="D277" s="21" t="n">
        <f aca="false">calc!$E$277</f>
        <v>10</v>
      </c>
      <c r="E277" s="21" t="n">
        <v>276</v>
      </c>
      <c r="F277" s="98" t="n">
        <f aca="false">calc!$X$277</f>
        <v>279.6738206402</v>
      </c>
      <c r="G277" s="99" t="n">
        <f aca="false">IF(ABS(F277-F276)&lt;100,F277,"")</f>
        <v>279.6738206402</v>
      </c>
      <c r="H277" s="24" t="n">
        <f aca="false">calc!$Z$277</f>
        <v>-4.31189163161484</v>
      </c>
      <c r="M277" s="24" t="str">
        <f aca="false">IF(OR(K277="",L277=""),"",K277+L277)</f>
        <v/>
      </c>
    </row>
    <row r="278" customFormat="false" ht="17.75" hidden="false" customHeight="true" outlineLevel="0" collapsed="false">
      <c r="C278" s="21" t="n">
        <f aca="false">calc!$D$278</f>
        <v>4</v>
      </c>
      <c r="D278" s="21" t="n">
        <f aca="false">calc!$E$278</f>
        <v>10</v>
      </c>
      <c r="E278" s="21" t="n">
        <v>277</v>
      </c>
      <c r="F278" s="98" t="n">
        <f aca="false">calc!$X$278</f>
        <v>293.862559932684</v>
      </c>
      <c r="G278" s="99" t="n">
        <f aca="false">IF(ABS(F278-F277)&lt;100,F278,"")</f>
        <v>293.862559932684</v>
      </c>
      <c r="H278" s="24" t="n">
        <f aca="false">calc!$Z$278</f>
        <v>-4.89345979091708</v>
      </c>
      <c r="M278" s="24" t="str">
        <f aca="false">IF(OR(K278="",L278=""),"",K278+L278)</f>
        <v/>
      </c>
    </row>
    <row r="279" customFormat="false" ht="17.75" hidden="false" customHeight="true" outlineLevel="0" collapsed="false">
      <c r="C279" s="21" t="n">
        <f aca="false">calc!$D$279</f>
        <v>5</v>
      </c>
      <c r="D279" s="21" t="n">
        <f aca="false">calc!$E$279</f>
        <v>10</v>
      </c>
      <c r="E279" s="21" t="n">
        <v>278</v>
      </c>
      <c r="F279" s="98" t="n">
        <f aca="false">calc!$X$279</f>
        <v>308.1106114284</v>
      </c>
      <c r="G279" s="99" t="n">
        <f aca="false">IF(ABS(F279-F278)&lt;100,F279,"")</f>
        <v>308.1106114284</v>
      </c>
      <c r="H279" s="24" t="n">
        <f aca="false">calc!$Z$279</f>
        <v>-5.17731046224389</v>
      </c>
      <c r="M279" s="24" t="str">
        <f aca="false">IF(OR(K279="",L279=""),"",K279+L279)</f>
        <v/>
      </c>
    </row>
    <row r="280" customFormat="false" ht="17.75" hidden="false" customHeight="true" outlineLevel="0" collapsed="false">
      <c r="C280" s="21" t="n">
        <f aca="false">calc!$D$280</f>
        <v>6</v>
      </c>
      <c r="D280" s="21" t="n">
        <f aca="false">calc!$E$280</f>
        <v>10</v>
      </c>
      <c r="E280" s="21" t="n">
        <v>279</v>
      </c>
      <c r="F280" s="98" t="n">
        <f aca="false">calc!$X$280</f>
        <v>322.375144736873</v>
      </c>
      <c r="G280" s="99" t="n">
        <f aca="false">IF(ABS(F280-F279)&lt;100,F280,"")</f>
        <v>322.375144736873</v>
      </c>
      <c r="H280" s="24" t="n">
        <f aca="false">calc!$Z$280</f>
        <v>-5.14340962238135</v>
      </c>
      <c r="M280" s="24" t="str">
        <f aca="false">IF(OR(K280="",L280=""),"",K280+L280)</f>
        <v/>
      </c>
    </row>
    <row r="281" customFormat="false" ht="17.75" hidden="false" customHeight="true" outlineLevel="0" collapsed="false">
      <c r="C281" s="21" t="n">
        <f aca="false">calc!$D$281</f>
        <v>7</v>
      </c>
      <c r="D281" s="21" t="n">
        <f aca="false">calc!$E$281</f>
        <v>10</v>
      </c>
      <c r="E281" s="21" t="n">
        <v>280</v>
      </c>
      <c r="F281" s="98" t="n">
        <f aca="false">calc!$X$281</f>
        <v>336.597083267367</v>
      </c>
      <c r="G281" s="99" t="n">
        <f aca="false">IF(ABS(F281-F280)&lt;100,F281,"")</f>
        <v>336.597083267367</v>
      </c>
      <c r="H281" s="24" t="n">
        <f aca="false">calc!$Z$281</f>
        <v>-4.79457675224573</v>
      </c>
      <c r="M281" s="24" t="str">
        <f aca="false">IF(OR(K281="",L281=""),"",K281+L281)</f>
        <v/>
      </c>
    </row>
    <row r="282" customFormat="false" ht="17.75" hidden="false" customHeight="true" outlineLevel="0" collapsed="false">
      <c r="C282" s="21" t="n">
        <f aca="false">calc!$D$282</f>
        <v>8</v>
      </c>
      <c r="D282" s="21" t="n">
        <f aca="false">calc!$E$282</f>
        <v>10</v>
      </c>
      <c r="E282" s="21" t="n">
        <v>281</v>
      </c>
      <c r="F282" s="98" t="n">
        <f aca="false">calc!$X$282</f>
        <v>350.704465516075</v>
      </c>
      <c r="G282" s="99" t="n">
        <f aca="false">IF(ABS(F282-F281)&lt;100,F282,"")</f>
        <v>350.704465516075</v>
      </c>
      <c r="H282" s="24" t="n">
        <f aca="false">calc!$Z$282</f>
        <v>-4.15761074534745</v>
      </c>
      <c r="M282" s="24" t="str">
        <f aca="false">IF(OR(K282="",L282=""),"",K282+L282)</f>
        <v/>
      </c>
    </row>
    <row r="283" customFormat="false" ht="17.75" hidden="false" customHeight="true" outlineLevel="0" collapsed="false">
      <c r="C283" s="21" t="n">
        <f aca="false">calc!$D$283</f>
        <v>9</v>
      </c>
      <c r="D283" s="21" t="n">
        <f aca="false">calc!$E$283</f>
        <v>10</v>
      </c>
      <c r="E283" s="21" t="n">
        <v>282</v>
      </c>
      <c r="F283" s="98" t="n">
        <f aca="false">calc!$X$283</f>
        <v>4.62085946122568</v>
      </c>
      <c r="G283" s="99" t="str">
        <f aca="false">IF(ABS(F283-F282)&lt;100,F283,"")</f>
        <v/>
      </c>
      <c r="H283" s="24" t="n">
        <f aca="false">calc!$Z$283</f>
        <v>-3.2811565888454</v>
      </c>
      <c r="M283" s="24" t="str">
        <f aca="false">IF(OR(K283="",L283=""),"",K283+L283)</f>
        <v/>
      </c>
    </row>
    <row r="284" customFormat="false" ht="17.75" hidden="false" customHeight="true" outlineLevel="0" collapsed="false">
      <c r="C284" s="21" t="n">
        <f aca="false">calc!$D$284</f>
        <v>10</v>
      </c>
      <c r="D284" s="21" t="n">
        <f aca="false">calc!$E$284</f>
        <v>10</v>
      </c>
      <c r="E284" s="21" t="n">
        <v>283</v>
      </c>
      <c r="F284" s="98" t="n">
        <f aca="false">calc!$X$284</f>
        <v>18.2768955131585</v>
      </c>
      <c r="G284" s="99" t="n">
        <f aca="false">IF(ABS(F284-F283)&lt;100,F284,"")</f>
        <v>18.2768955131585</v>
      </c>
      <c r="H284" s="24" t="n">
        <f aca="false">calc!$Z$284</f>
        <v>-2.22990818457164</v>
      </c>
      <c r="M284" s="24" t="str">
        <f aca="false">IF(OR(K284="",L284=""),"",K284+L284)</f>
        <v/>
      </c>
    </row>
    <row r="285" customFormat="false" ht="17.75" hidden="false" customHeight="true" outlineLevel="0" collapsed="false">
      <c r="C285" s="21" t="n">
        <f aca="false">calc!$D$285</f>
        <v>11</v>
      </c>
      <c r="D285" s="21" t="n">
        <f aca="false">calc!$E$285</f>
        <v>10</v>
      </c>
      <c r="E285" s="21" t="n">
        <v>284</v>
      </c>
      <c r="F285" s="98" t="n">
        <f aca="false">calc!$X$285</f>
        <v>31.6218588600164</v>
      </c>
      <c r="G285" s="99" t="n">
        <f aca="false">IF(ABS(F285-F284)&lt;100,F285,"")</f>
        <v>31.6218588600164</v>
      </c>
      <c r="H285" s="24" t="n">
        <f aca="false">calc!$Z$285</f>
        <v>-1.0762440743104</v>
      </c>
      <c r="M285" s="24" t="str">
        <f aca="false">IF(OR(K285="",L285=""),"",K285+L285)</f>
        <v/>
      </c>
    </row>
    <row r="286" customFormat="false" ht="17.75" hidden="false" customHeight="true" outlineLevel="0" collapsed="false">
      <c r="C286" s="21" t="n">
        <f aca="false">calc!$D$286</f>
        <v>12</v>
      </c>
      <c r="D286" s="21" t="n">
        <f aca="false">calc!$E$286</f>
        <v>10</v>
      </c>
      <c r="E286" s="21" t="n">
        <v>285</v>
      </c>
      <c r="F286" s="98" t="n">
        <f aca="false">calc!$X$286</f>
        <v>44.6322131796149</v>
      </c>
      <c r="G286" s="99" t="n">
        <f aca="false">IF(ABS(F286-F285)&lt;100,F286,"")</f>
        <v>44.6322131796149</v>
      </c>
      <c r="H286" s="24" t="n">
        <f aca="false">calc!$Z$286</f>
        <v>0.108459902262384</v>
      </c>
      <c r="M286" s="24" t="str">
        <f aca="false">IF(OR(K286="",L286=""),"",K286+L286)</f>
        <v/>
      </c>
    </row>
    <row r="287" customFormat="false" ht="17.75" hidden="false" customHeight="true" outlineLevel="0" collapsed="false">
      <c r="C287" s="21" t="n">
        <f aca="false">calc!$D$287</f>
        <v>13</v>
      </c>
      <c r="D287" s="21" t="n">
        <f aca="false">calc!$E$287</f>
        <v>10</v>
      </c>
      <c r="E287" s="21" t="n">
        <v>286</v>
      </c>
      <c r="F287" s="98" t="n">
        <f aca="false">calc!$X$287</f>
        <v>57.3149355426648</v>
      </c>
      <c r="G287" s="99" t="n">
        <f aca="false">IF(ABS(F287-F286)&lt;100,F287,"")</f>
        <v>57.3149355426648</v>
      </c>
      <c r="H287" s="24" t="n">
        <f aca="false">calc!$Z$287</f>
        <v>1.26054652737502</v>
      </c>
      <c r="M287" s="24" t="str">
        <f aca="false">IF(OR(K287="",L287=""),"",K287+L287)</f>
        <v/>
      </c>
    </row>
    <row r="288" customFormat="false" ht="17.75" hidden="false" customHeight="true" outlineLevel="0" collapsed="false">
      <c r="C288" s="21" t="n">
        <f aca="false">calc!$D$288</f>
        <v>14</v>
      </c>
      <c r="D288" s="21" t="n">
        <f aca="false">calc!$E$288</f>
        <v>10</v>
      </c>
      <c r="E288" s="21" t="n">
        <v>287</v>
      </c>
      <c r="F288" s="98" t="n">
        <f aca="false">calc!$X$288</f>
        <v>69.7052360740115</v>
      </c>
      <c r="G288" s="99" t="n">
        <f aca="false">IF(ABS(F288-F287)&lt;100,F288,"")</f>
        <v>69.7052360740115</v>
      </c>
      <c r="H288" s="24" t="n">
        <f aca="false">calc!$Z$288</f>
        <v>2.32754385636861</v>
      </c>
      <c r="M288" s="24" t="str">
        <f aca="false">IF(OR(K288="",L288=""),"",K288+L288)</f>
        <v/>
      </c>
    </row>
    <row r="289" customFormat="false" ht="17.75" hidden="false" customHeight="true" outlineLevel="0" collapsed="false">
      <c r="C289" s="21" t="n">
        <f aca="false">calc!$D$289</f>
        <v>15</v>
      </c>
      <c r="D289" s="21" t="n">
        <f aca="false">calc!$E$289</f>
        <v>10</v>
      </c>
      <c r="E289" s="21" t="n">
        <v>288</v>
      </c>
      <c r="F289" s="98" t="n">
        <f aca="false">calc!$X$289</f>
        <v>81.8599688055641</v>
      </c>
      <c r="G289" s="99" t="n">
        <f aca="false">IF(ABS(F289-F288)&lt;100,F289,"")</f>
        <v>81.8599688055641</v>
      </c>
      <c r="H289" s="24" t="n">
        <f aca="false">calc!$Z$289</f>
        <v>3.26848842353458</v>
      </c>
      <c r="M289" s="24" t="str">
        <f aca="false">IF(OR(K289="",L289=""),"",K289+L289)</f>
        <v/>
      </c>
    </row>
    <row r="290" customFormat="false" ht="17.75" hidden="false" customHeight="true" outlineLevel="0" collapsed="false">
      <c r="C290" s="21" t="n">
        <f aca="false">calc!$D$290</f>
        <v>16</v>
      </c>
      <c r="D290" s="21" t="n">
        <f aca="false">calc!$E$290</f>
        <v>10</v>
      </c>
      <c r="E290" s="21" t="n">
        <v>289</v>
      </c>
      <c r="F290" s="98" t="n">
        <f aca="false">calc!$X$290</f>
        <v>93.8491671624246</v>
      </c>
      <c r="G290" s="99" t="n">
        <f aca="false">IF(ABS(F290-F289)&lt;100,F290,"")</f>
        <v>93.8491671624246</v>
      </c>
      <c r="H290" s="24" t="n">
        <f aca="false">calc!$Z$290</f>
        <v>4.05219005303252</v>
      </c>
      <c r="M290" s="24" t="str">
        <f aca="false">IF(OR(K290="",L290=""),"",K290+L290)</f>
        <v/>
      </c>
    </row>
    <row r="291" customFormat="false" ht="17.75" hidden="false" customHeight="true" outlineLevel="0" collapsed="false">
      <c r="C291" s="21" t="n">
        <f aca="false">calc!$D$291</f>
        <v>17</v>
      </c>
      <c r="D291" s="21" t="n">
        <f aca="false">calc!$E$291</f>
        <v>10</v>
      </c>
      <c r="E291" s="21" t="n">
        <v>290</v>
      </c>
      <c r="F291" s="98" t="n">
        <f aca="false">calc!$X$291</f>
        <v>105.748270544179</v>
      </c>
      <c r="G291" s="99" t="n">
        <f aca="false">IF(ABS(F291-F290)&lt;100,F291,"")</f>
        <v>105.748270544179</v>
      </c>
      <c r="H291" s="24" t="n">
        <f aca="false">calc!$Z$291</f>
        <v>4.65476392803579</v>
      </c>
      <c r="M291" s="24" t="str">
        <f aca="false">IF(OR(K291="",L291=""),"",K291+L291)</f>
        <v/>
      </c>
    </row>
    <row r="292" customFormat="false" ht="17.75" hidden="false" customHeight="true" outlineLevel="0" collapsed="false">
      <c r="C292" s="21" t="n">
        <f aca="false">calc!$D$292</f>
        <v>18</v>
      </c>
      <c r="D292" s="21" t="n">
        <f aca="false">calc!$E$292</f>
        <v>10</v>
      </c>
      <c r="E292" s="21" t="n">
        <v>291</v>
      </c>
      <c r="F292" s="98" t="n">
        <f aca="false">calc!$X$292</f>
        <v>117.632765486139</v>
      </c>
      <c r="G292" s="99" t="n">
        <f aca="false">IF(ABS(F292-F291)&lt;100,F292,"")</f>
        <v>117.632765486139</v>
      </c>
      <c r="H292" s="24" t="n">
        <f aca="false">calc!$Z$292</f>
        <v>5.05742708445702</v>
      </c>
      <c r="M292" s="24" t="str">
        <f aca="false">IF(OR(K292="",L292=""),"",K292+L292)</f>
        <v/>
      </c>
    </row>
    <row r="293" customFormat="false" ht="17.75" hidden="false" customHeight="true" outlineLevel="0" collapsed="false">
      <c r="C293" s="21" t="n">
        <f aca="false">calc!$D$293</f>
        <v>19</v>
      </c>
      <c r="D293" s="21" t="n">
        <f aca="false">calc!$E$293</f>
        <v>10</v>
      </c>
      <c r="E293" s="21" t="n">
        <v>292</v>
      </c>
      <c r="F293" s="98" t="n">
        <f aca="false">calc!$X$293</f>
        <v>129.57555348169</v>
      </c>
      <c r="G293" s="99" t="n">
        <f aca="false">IF(ABS(F293-F292)&lt;100,F293,"")</f>
        <v>129.57555348169</v>
      </c>
      <c r="H293" s="24" t="n">
        <f aca="false">calc!$Z$293</f>
        <v>5.24506577133416</v>
      </c>
      <c r="M293" s="24" t="str">
        <f aca="false">IF(OR(K293="",L293=""),"",K293+L293)</f>
        <v/>
      </c>
    </row>
    <row r="294" customFormat="false" ht="17.75" hidden="false" customHeight="true" outlineLevel="0" collapsed="false">
      <c r="C294" s="21" t="n">
        <f aca="false">calc!$D$294</f>
        <v>20</v>
      </c>
      <c r="D294" s="21" t="n">
        <f aca="false">calc!$E$294</f>
        <v>10</v>
      </c>
      <c r="E294" s="21" t="n">
        <v>293</v>
      </c>
      <c r="F294" s="98" t="n">
        <f aca="false">calc!$X$294</f>
        <v>141.646000477173</v>
      </c>
      <c r="G294" s="99" t="n">
        <f aca="false">IF(ABS(F294-F293)&lt;100,F294,"")</f>
        <v>141.646000477173</v>
      </c>
      <c r="H294" s="24" t="n">
        <f aca="false">calc!$Z$294</f>
        <v>5.20576197949573</v>
      </c>
      <c r="M294" s="24" t="str">
        <f aca="false">IF(OR(K294="",L294=""),"",K294+L294)</f>
        <v/>
      </c>
    </row>
    <row r="295" customFormat="false" ht="17.75" hidden="false" customHeight="true" outlineLevel="0" collapsed="false">
      <c r="C295" s="21" t="n">
        <f aca="false">calc!$D$295</f>
        <v>21</v>
      </c>
      <c r="D295" s="21" t="n">
        <f aca="false">calc!$E$295</f>
        <v>10</v>
      </c>
      <c r="E295" s="21" t="n">
        <v>294</v>
      </c>
      <c r="F295" s="98" t="n">
        <f aca="false">calc!$X$295</f>
        <v>153.908898320713</v>
      </c>
      <c r="G295" s="99" t="n">
        <f aca="false">IF(ABS(F295-F294)&lt;100,F295,"")</f>
        <v>153.908898320713</v>
      </c>
      <c r="H295" s="24" t="n">
        <f aca="false">calc!$Z$295</f>
        <v>4.93141294976467</v>
      </c>
      <c r="M295" s="24" t="str">
        <f aca="false">IF(OR(K295="",L295=""),"",K295+L295)</f>
        <v/>
      </c>
    </row>
    <row r="296" customFormat="false" ht="17.75" hidden="false" customHeight="true" outlineLevel="0" collapsed="false">
      <c r="C296" s="21" t="n">
        <f aca="false">calc!$D$296</f>
        <v>22</v>
      </c>
      <c r="D296" s="21" t="n">
        <f aca="false">calc!$E$296</f>
        <v>10</v>
      </c>
      <c r="E296" s="21" t="n">
        <v>295</v>
      </c>
      <c r="F296" s="98" t="n">
        <f aca="false">calc!$X$296</f>
        <v>166.421770859786</v>
      </c>
      <c r="G296" s="99" t="n">
        <f aca="false">IF(ABS(F296-F295)&lt;100,F296,"")</f>
        <v>166.421770859786</v>
      </c>
      <c r="H296" s="24" t="n">
        <f aca="false">calc!$Z$296</f>
        <v>4.41963138857495</v>
      </c>
      <c r="M296" s="24" t="str">
        <f aca="false">IF(OR(K296="",L296=""),"",K296+L296)</f>
        <v/>
      </c>
    </row>
    <row r="297" customFormat="false" ht="17.75" hidden="false" customHeight="true" outlineLevel="0" collapsed="false">
      <c r="C297" s="21" t="n">
        <f aca="false">calc!$D$297</f>
        <v>23</v>
      </c>
      <c r="D297" s="21" t="n">
        <f aca="false">calc!$E$297</f>
        <v>10</v>
      </c>
      <c r="E297" s="21" t="n">
        <v>296</v>
      </c>
      <c r="F297" s="98" t="n">
        <f aca="false">calc!$X$297</f>
        <v>179.229979339265</v>
      </c>
      <c r="G297" s="99" t="n">
        <f aca="false">IF(ABS(F297-F296)&lt;100,F297,"")</f>
        <v>179.229979339265</v>
      </c>
      <c r="H297" s="24" t="n">
        <f aca="false">calc!$Z$297</f>
        <v>3.67700282776604</v>
      </c>
      <c r="M297" s="24" t="str">
        <f aca="false">IF(OR(K297="",L297=""),"",K297+L297)</f>
        <v/>
      </c>
    </row>
    <row r="298" customFormat="false" ht="17.75" hidden="false" customHeight="true" outlineLevel="0" collapsed="false">
      <c r="C298" s="21" t="n">
        <f aca="false">calc!$D$298</f>
        <v>24</v>
      </c>
      <c r="D298" s="21" t="n">
        <f aca="false">calc!$E$298</f>
        <v>10</v>
      </c>
      <c r="E298" s="21" t="n">
        <v>297</v>
      </c>
      <c r="F298" s="98" t="n">
        <f aca="false">calc!$X$298</f>
        <v>192.360461709768</v>
      </c>
      <c r="G298" s="99" t="n">
        <f aca="false">IF(ABS(F298-F297)&lt;100,F298,"")</f>
        <v>192.360461709768</v>
      </c>
      <c r="H298" s="24" t="n">
        <f aca="false">calc!$Z$298</f>
        <v>2.72330466048128</v>
      </c>
      <c r="M298" s="24" t="str">
        <f aca="false">IF(OR(K298="",L298=""),"",K298+L298)</f>
        <v/>
      </c>
    </row>
    <row r="299" customFormat="false" ht="17.75" hidden="false" customHeight="true" outlineLevel="0" collapsed="false">
      <c r="C299" s="21" t="n">
        <f aca="false">calc!$D$299</f>
        <v>25</v>
      </c>
      <c r="D299" s="21" t="n">
        <f aca="false">calc!$E$299</f>
        <v>10</v>
      </c>
      <c r="E299" s="21" t="n">
        <v>298</v>
      </c>
      <c r="F299" s="98" t="n">
        <f aca="false">calc!$X$299</f>
        <v>205.816058304899</v>
      </c>
      <c r="G299" s="99" t="n">
        <f aca="false">IF(ABS(F299-F298)&lt;100,F299,"")</f>
        <v>205.816058304899</v>
      </c>
      <c r="H299" s="24" t="n">
        <f aca="false">calc!$Z$299</f>
        <v>1.59552762392545</v>
      </c>
      <c r="M299" s="24" t="str">
        <f aca="false">IF(OR(K299="",L299=""),"",K299+L299)</f>
        <v/>
      </c>
    </row>
    <row r="300" customFormat="false" ht="17.75" hidden="false" customHeight="true" outlineLevel="0" collapsed="false">
      <c r="C300" s="21" t="n">
        <f aca="false">calc!$D$300</f>
        <v>26</v>
      </c>
      <c r="D300" s="21" t="n">
        <f aca="false">calc!$E$300</f>
        <v>10</v>
      </c>
      <c r="E300" s="21" t="n">
        <v>299</v>
      </c>
      <c r="F300" s="98" t="n">
        <f aca="false">calc!$X$300</f>
        <v>219.572714598298</v>
      </c>
      <c r="G300" s="99" t="n">
        <f aca="false">IF(ABS(F300-F299)&lt;100,F300,"")</f>
        <v>219.572714598298</v>
      </c>
      <c r="H300" s="24" t="n">
        <f aca="false">calc!$Z$300</f>
        <v>0.349888750256671</v>
      </c>
      <c r="M300" s="24" t="str">
        <f aca="false">IF(OR(K300="",L300=""),"",K300+L300)</f>
        <v/>
      </c>
    </row>
    <row r="301" customFormat="false" ht="17.75" hidden="false" customHeight="true" outlineLevel="0" collapsed="false">
      <c r="C301" s="21" t="n">
        <f aca="false">calc!$D$301</f>
        <v>27</v>
      </c>
      <c r="D301" s="21" t="n">
        <f aca="false">calc!$E$301</f>
        <v>10</v>
      </c>
      <c r="E301" s="21" t="n">
        <v>300</v>
      </c>
      <c r="F301" s="98" t="n">
        <f aca="false">calc!$X$301</f>
        <v>233.581214414584</v>
      </c>
      <c r="G301" s="99" t="n">
        <f aca="false">IF(ABS(F301-F300)&lt;100,F301,"")</f>
        <v>233.581214414584</v>
      </c>
      <c r="H301" s="24" t="n">
        <f aca="false">calc!$Z$301</f>
        <v>-0.939936300098635</v>
      </c>
      <c r="M301" s="24" t="str">
        <f aca="false">IF(OR(K301="",L301=""),"",K301+L301)</f>
        <v/>
      </c>
    </row>
    <row r="302" customFormat="false" ht="17.75" hidden="false" customHeight="true" outlineLevel="0" collapsed="false">
      <c r="C302" s="21" t="n">
        <f aca="false">calc!$D$302</f>
        <v>28</v>
      </c>
      <c r="D302" s="21" t="n">
        <f aca="false">calc!$E$302</f>
        <v>10</v>
      </c>
      <c r="E302" s="21" t="n">
        <v>301</v>
      </c>
      <c r="F302" s="98" t="n">
        <f aca="false">calc!$X$302</f>
        <v>247.773695630033</v>
      </c>
      <c r="G302" s="99" t="n">
        <f aca="false">IF(ABS(F302-F301)&lt;100,F302,"")</f>
        <v>247.773695630033</v>
      </c>
      <c r="H302" s="24" t="n">
        <f aca="false">calc!$Z$302</f>
        <v>-2.18906381211348</v>
      </c>
      <c r="M302" s="24" t="str">
        <f aca="false">IF(OR(K302="",L302=""),"",K302+L302)</f>
        <v/>
      </c>
    </row>
    <row r="303" customFormat="false" ht="17.75" hidden="false" customHeight="true" outlineLevel="0" collapsed="false">
      <c r="C303" s="21" t="n">
        <f aca="false">calc!$D$303</f>
        <v>29</v>
      </c>
      <c r="D303" s="21" t="n">
        <f aca="false">calc!$E$303</f>
        <v>10</v>
      </c>
      <c r="E303" s="21" t="n">
        <v>302</v>
      </c>
      <c r="F303" s="98" t="n">
        <f aca="false">calc!$X$303</f>
        <v>262.073571828577</v>
      </c>
      <c r="G303" s="99" t="n">
        <f aca="false">IF(ABS(F303-F302)&lt;100,F303,"")</f>
        <v>262.073571828577</v>
      </c>
      <c r="H303" s="24" t="n">
        <f aca="false">calc!$Z$303</f>
        <v>-3.31106006015076</v>
      </c>
      <c r="M303" s="24" t="str">
        <f aca="false">IF(OR(K303="",L303=""),"",K303+L303)</f>
        <v/>
      </c>
    </row>
    <row r="304" customFormat="false" ht="17.75" hidden="false" customHeight="true" outlineLevel="0" collapsed="false">
      <c r="C304" s="21" t="n">
        <f aca="false">calc!$D$304</f>
        <v>30</v>
      </c>
      <c r="D304" s="21" t="n">
        <f aca="false">calc!$E$304</f>
        <v>10</v>
      </c>
      <c r="E304" s="21" t="n">
        <v>303</v>
      </c>
      <c r="F304" s="98" t="n">
        <f aca="false">calc!$X$304</f>
        <v>276.406272329032</v>
      </c>
      <c r="G304" s="99" t="n">
        <f aca="false">IF(ABS(F304-F303)&lt;100,F304,"")</f>
        <v>276.406272329032</v>
      </c>
      <c r="H304" s="24" t="n">
        <f aca="false">calc!$Z$304</f>
        <v>-4.22841863332811</v>
      </c>
      <c r="M304" s="24" t="str">
        <f aca="false">IF(OR(K304="",L304=""),"",K304+L304)</f>
        <v/>
      </c>
    </row>
    <row r="305" customFormat="false" ht="17.75" hidden="false" customHeight="true" outlineLevel="0" collapsed="false">
      <c r="C305" s="21" t="n">
        <f aca="false">calc!$D$305</f>
        <v>31</v>
      </c>
      <c r="D305" s="21" t="n">
        <f aca="false">calc!$E$305</f>
        <v>10</v>
      </c>
      <c r="E305" s="21" t="n">
        <v>304</v>
      </c>
      <c r="F305" s="98" t="n">
        <f aca="false">calc!$X$305</f>
        <v>290.707909437266</v>
      </c>
      <c r="G305" s="99" t="n">
        <f aca="false">IF(ABS(F305-F304)&lt;100,F305,"")</f>
        <v>290.707909437266</v>
      </c>
      <c r="H305" s="24" t="n">
        <f aca="false">calc!$Z$305</f>
        <v>-4.88099771490685</v>
      </c>
      <c r="M305" s="24" t="str">
        <f aca="false">IF(OR(K305="",L305=""),"",K305+L305)</f>
        <v/>
      </c>
    </row>
    <row r="306" customFormat="false" ht="17.75" hidden="false" customHeight="true" outlineLevel="0" collapsed="false">
      <c r="C306" s="21" t="n">
        <f aca="false">calc!$D$306</f>
        <v>1</v>
      </c>
      <c r="D306" s="21" t="n">
        <f aca="false">calc!$E$306</f>
        <v>11</v>
      </c>
      <c r="E306" s="21" t="n">
        <v>305</v>
      </c>
      <c r="F306" s="98" t="n">
        <f aca="false">calc!$X$306</f>
        <v>304.92972033661</v>
      </c>
      <c r="G306" s="99" t="n">
        <f aca="false">IF(ABS(F306-F305)&lt;100,F306,"")</f>
        <v>304.92972033661</v>
      </c>
      <c r="H306" s="24" t="n">
        <f aca="false">calc!$Z$306</f>
        <v>-5.23070374100694</v>
      </c>
      <c r="M306" s="24" t="str">
        <f aca="false">IF(OR(K306="",L306=""),"",K306+L306)</f>
        <v/>
      </c>
    </row>
    <row r="307" customFormat="false" ht="17.75" hidden="false" customHeight="true" outlineLevel="0" collapsed="false">
      <c r="C307" s="21" t="n">
        <f aca="false">calc!$D$307</f>
        <v>2</v>
      </c>
      <c r="D307" s="21" t="n">
        <f aca="false">calc!$E$307</f>
        <v>11</v>
      </c>
      <c r="E307" s="21" t="n">
        <v>306</v>
      </c>
      <c r="F307" s="98" t="n">
        <f aca="false">calc!$X$307</f>
        <v>319.037634949126</v>
      </c>
      <c r="G307" s="99" t="n">
        <f aca="false">IF(ABS(F307-F306)&lt;100,F307,"")</f>
        <v>319.037634949126</v>
      </c>
      <c r="H307" s="24" t="n">
        <f aca="false">calc!$Z$307</f>
        <v>-5.26246556733462</v>
      </c>
      <c r="M307" s="24" t="str">
        <f aca="false">IF(OR(K307="",L307=""),"",K307+L307)</f>
        <v/>
      </c>
    </row>
    <row r="308" customFormat="false" ht="17.75" hidden="false" customHeight="true" outlineLevel="0" collapsed="false">
      <c r="C308" s="21" t="n">
        <f aca="false">calc!$D$308</f>
        <v>3</v>
      </c>
      <c r="D308" s="21" t="n">
        <f aca="false">calc!$E$308</f>
        <v>11</v>
      </c>
      <c r="E308" s="21" t="n">
        <v>307</v>
      </c>
      <c r="F308" s="98" t="n">
        <f aca="false">calc!$X$308</f>
        <v>333.008013325899</v>
      </c>
      <c r="G308" s="99" t="n">
        <f aca="false">IF(ABS(F308-F307)&lt;100,F308,"")</f>
        <v>333.008013325899</v>
      </c>
      <c r="H308" s="24" t="n">
        <f aca="false">calc!$Z$308</f>
        <v>-4.98278305906005</v>
      </c>
      <c r="M308" s="24" t="str">
        <f aca="false">IF(OR(K308="",L308=""),"",K308+L308)</f>
        <v/>
      </c>
    </row>
    <row r="309" customFormat="false" ht="17.75" hidden="false" customHeight="true" outlineLevel="0" collapsed="false">
      <c r="C309" s="21" t="n">
        <f aca="false">calc!$D$309</f>
        <v>4</v>
      </c>
      <c r="D309" s="21" t="n">
        <f aca="false">calc!$E$309</f>
        <v>11</v>
      </c>
      <c r="E309" s="21" t="n">
        <v>308</v>
      </c>
      <c r="F309" s="98" t="n">
        <f aca="false">calc!$X$309</f>
        <v>346.821831796472</v>
      </c>
      <c r="G309" s="99" t="n">
        <f aca="false">IF(ABS(F309-F308)&lt;100,F309,"")</f>
        <v>346.821831796472</v>
      </c>
      <c r="H309" s="24" t="n">
        <f aca="false">calc!$Z$309</f>
        <v>-4.41725873459038</v>
      </c>
      <c r="M309" s="24" t="str">
        <f aca="false">IF(OR(K309="",L309=""),"",K309+L309)</f>
        <v/>
      </c>
    </row>
    <row r="310" customFormat="false" ht="17.75" hidden="false" customHeight="true" outlineLevel="0" collapsed="false">
      <c r="C310" s="21" t="n">
        <f aca="false">calc!$D$310</f>
        <v>5</v>
      </c>
      <c r="D310" s="21" t="n">
        <f aca="false">calc!$E$310</f>
        <v>11</v>
      </c>
      <c r="E310" s="21" t="n">
        <v>309</v>
      </c>
      <c r="F310" s="98" t="n">
        <f aca="false">calc!$X$310</f>
        <v>0.459921897918694</v>
      </c>
      <c r="G310" s="99" t="str">
        <f aca="false">IF(ABS(F310-F309)&lt;100,F310,"")</f>
        <v/>
      </c>
      <c r="H310" s="24" t="n">
        <f aca="false">calc!$Z$310</f>
        <v>-3.60778527652392</v>
      </c>
      <c r="M310" s="24" t="str">
        <f aca="false">IF(OR(K310="",L310=""),"",K310+L310)</f>
        <v/>
      </c>
    </row>
    <row r="311" customFormat="false" ht="17.75" hidden="false" customHeight="true" outlineLevel="0" collapsed="false">
      <c r="C311" s="21" t="n">
        <f aca="false">calc!$D$311</f>
        <v>6</v>
      </c>
      <c r="D311" s="21" t="n">
        <f aca="false">calc!$E$311</f>
        <v>11</v>
      </c>
      <c r="E311" s="21" t="n">
        <v>310</v>
      </c>
      <c r="F311" s="98" t="n">
        <f aca="false">calc!$X$311</f>
        <v>13.9011948548608</v>
      </c>
      <c r="G311" s="99" t="n">
        <f aca="false">IF(ABS(F311-F310)&lt;100,F311,"")</f>
        <v>13.9011948548608</v>
      </c>
      <c r="H311" s="24" t="n">
        <f aca="false">calc!$Z$311</f>
        <v>-2.60922494694491</v>
      </c>
      <c r="M311" s="24" t="str">
        <f aca="false">IF(OR(K311="",L311=""),"",K311+L311)</f>
        <v/>
      </c>
    </row>
    <row r="312" customFormat="false" ht="17.75" hidden="false" customHeight="true" outlineLevel="0" collapsed="false">
      <c r="C312" s="21" t="n">
        <f aca="false">calc!$D$312</f>
        <v>7</v>
      </c>
      <c r="D312" s="21" t="n">
        <f aca="false">calc!$E$312</f>
        <v>11</v>
      </c>
      <c r="E312" s="21" t="n">
        <v>311</v>
      </c>
      <c r="F312" s="98" t="n">
        <f aca="false">calc!$X$312</f>
        <v>27.1244276443721</v>
      </c>
      <c r="G312" s="99" t="n">
        <f aca="false">IF(ABS(F312-F311)&lt;100,F312,"")</f>
        <v>27.1244276443721</v>
      </c>
      <c r="H312" s="24" t="n">
        <f aca="false">calc!$Z$312</f>
        <v>-1.48513794857658</v>
      </c>
      <c r="M312" s="24" t="str">
        <f aca="false">IF(OR(K312="",L312=""),"",K312+L312)</f>
        <v/>
      </c>
    </row>
    <row r="313" customFormat="false" ht="17.75" hidden="false" customHeight="true" outlineLevel="0" collapsed="false">
      <c r="C313" s="21" t="n">
        <f aca="false">calc!$D$313</f>
        <v>8</v>
      </c>
      <c r="D313" s="21" t="n">
        <f aca="false">calc!$E$313</f>
        <v>11</v>
      </c>
      <c r="E313" s="21" t="n">
        <v>312</v>
      </c>
      <c r="F313" s="98" t="n">
        <f aca="false">calc!$X$313</f>
        <v>40.1127158393476</v>
      </c>
      <c r="G313" s="99" t="n">
        <f aca="false">IF(ABS(F313-F312)&lt;100,F313,"")</f>
        <v>40.1127158393476</v>
      </c>
      <c r="H313" s="24" t="n">
        <f aca="false">calc!$Z$313</f>
        <v>-0.302534309950928</v>
      </c>
      <c r="M313" s="24" t="str">
        <f aca="false">IF(OR(K313="",L313=""),"",K313+L313)</f>
        <v/>
      </c>
    </row>
    <row r="314" customFormat="false" ht="17.75" hidden="false" customHeight="true" outlineLevel="0" collapsed="false">
      <c r="C314" s="21" t="n">
        <f aca="false">calc!$D$314</f>
        <v>9</v>
      </c>
      <c r="D314" s="21" t="n">
        <f aca="false">calc!$E$314</f>
        <v>11</v>
      </c>
      <c r="E314" s="21" t="n">
        <v>313</v>
      </c>
      <c r="F314" s="98" t="n">
        <f aca="false">calc!$X$314</f>
        <v>52.8587064772991</v>
      </c>
      <c r="G314" s="99" t="n">
        <f aca="false">IF(ABS(F314-F313)&lt;100,F314,"")</f>
        <v>52.8587064772991</v>
      </c>
      <c r="H314" s="24" t="n">
        <f aca="false">calc!$Z$314</f>
        <v>0.873659560287865</v>
      </c>
      <c r="M314" s="24" t="str">
        <f aca="false">IF(OR(K314="",L314=""),"",K314+L314)</f>
        <v/>
      </c>
    </row>
    <row r="315" customFormat="false" ht="17.75" hidden="false" customHeight="true" outlineLevel="0" collapsed="false">
      <c r="C315" s="21" t="n">
        <f aca="false">calc!$D$315</f>
        <v>10</v>
      </c>
      <c r="D315" s="21" t="n">
        <f aca="false">calc!$E$315</f>
        <v>11</v>
      </c>
      <c r="E315" s="21" t="n">
        <v>314</v>
      </c>
      <c r="F315" s="98" t="n">
        <f aca="false">calc!$X$315</f>
        <v>65.3685819827796</v>
      </c>
      <c r="G315" s="99" t="n">
        <f aca="false">IF(ABS(F315-F314)&lt;100,F315,"")</f>
        <v>65.3685819827796</v>
      </c>
      <c r="H315" s="24" t="n">
        <f aca="false">calc!$Z$315</f>
        <v>1.98529839576314</v>
      </c>
      <c r="M315" s="24" t="str">
        <f aca="false">IF(OR(K315="",L315=""),"",K315+L315)</f>
        <v/>
      </c>
    </row>
    <row r="316" customFormat="false" ht="17.75" hidden="false" customHeight="true" outlineLevel="0" collapsed="false">
      <c r="C316" s="21" t="n">
        <f aca="false">calc!$D$316</f>
        <v>11</v>
      </c>
      <c r="D316" s="21" t="n">
        <f aca="false">calc!$E$316</f>
        <v>11</v>
      </c>
      <c r="E316" s="21" t="n">
        <v>315</v>
      </c>
      <c r="F316" s="98" t="n">
        <f aca="false">calc!$X$316</f>
        <v>77.6634749742622</v>
      </c>
      <c r="G316" s="99" t="n">
        <f aca="false">IF(ABS(F316-F315)&lt;100,F316,"")</f>
        <v>77.6634749742622</v>
      </c>
      <c r="H316" s="24" t="n">
        <f aca="false">calc!$Z$316</f>
        <v>2.98393989014156</v>
      </c>
      <c r="M316" s="24" t="str">
        <f aca="false">IF(OR(K316="",L316=""),"",K316+L316)</f>
        <v/>
      </c>
    </row>
    <row r="317" customFormat="false" ht="17.75" hidden="false" customHeight="true" outlineLevel="0" collapsed="false">
      <c r="C317" s="21" t="n">
        <f aca="false">calc!$D$317</f>
        <v>12</v>
      </c>
      <c r="D317" s="21" t="n">
        <f aca="false">calc!$E$317</f>
        <v>11</v>
      </c>
      <c r="E317" s="21" t="n">
        <v>316</v>
      </c>
      <c r="F317" s="98" t="n">
        <f aca="false">calc!$X$317</f>
        <v>89.7781946684229</v>
      </c>
      <c r="G317" s="99" t="n">
        <f aca="false">IF(ABS(F317-F316)&lt;100,F317,"")</f>
        <v>89.7781946684229</v>
      </c>
      <c r="H317" s="24" t="n">
        <f aca="false">calc!$Z$317</f>
        <v>3.83170292490891</v>
      </c>
      <c r="M317" s="24" t="str">
        <f aca="false">IF(OR(K317="",L317=""),"",K317+L317)</f>
        <v/>
      </c>
    </row>
    <row r="318" customFormat="false" ht="17.75" hidden="false" customHeight="true" outlineLevel="0" collapsed="false">
      <c r="C318" s="21" t="n">
        <f aca="false">calc!$D$318</f>
        <v>13</v>
      </c>
      <c r="D318" s="21" t="n">
        <f aca="false">calc!$E$318</f>
        <v>11</v>
      </c>
      <c r="E318" s="21" t="n">
        <v>317</v>
      </c>
      <c r="F318" s="98" t="n">
        <f aca="false">calc!$X$318</f>
        <v>101.758280198633</v>
      </c>
      <c r="G318" s="99" t="n">
        <f aca="false">IF(ABS(F318-F317)&lt;100,F318,"")</f>
        <v>101.758280198633</v>
      </c>
      <c r="H318" s="24" t="n">
        <f aca="false">calc!$Z$318</f>
        <v>4.50046322890944</v>
      </c>
      <c r="M318" s="24" t="str">
        <f aca="false">IF(OR(K318="",L318=""),"",K318+L318)</f>
        <v/>
      </c>
    </row>
    <row r="319" customFormat="false" ht="17.75" hidden="false" customHeight="true" outlineLevel="0" collapsed="false">
      <c r="C319" s="21" t="n">
        <f aca="false">calc!$D$319</f>
        <v>14</v>
      </c>
      <c r="D319" s="21" t="n">
        <f aca="false">calc!$E$319</f>
        <v>11</v>
      </c>
      <c r="E319" s="21" t="n">
        <v>318</v>
      </c>
      <c r="F319" s="98" t="n">
        <f aca="false">calc!$X$319</f>
        <v>113.656950517396</v>
      </c>
      <c r="G319" s="99" t="n">
        <f aca="false">IF(ABS(F319-F318)&lt;100,F319,"")</f>
        <v>113.656950517396</v>
      </c>
      <c r="H319" s="24" t="n">
        <f aca="false">calc!$Z$319</f>
        <v>4.97014765067921</v>
      </c>
      <c r="M319" s="24" t="str">
        <f aca="false">IF(OR(K319="",L319=""),"",K319+L319)</f>
        <v/>
      </c>
    </row>
    <row r="320" customFormat="false" ht="17.75" hidden="false" customHeight="true" outlineLevel="0" collapsed="false">
      <c r="C320" s="21" t="n">
        <f aca="false">calc!$D$320</f>
        <v>15</v>
      </c>
      <c r="D320" s="21" t="n">
        <f aca="false">calc!$E$320</f>
        <v>11</v>
      </c>
      <c r="E320" s="21" t="n">
        <v>319</v>
      </c>
      <c r="F320" s="98" t="n">
        <f aca="false">calc!$X$320</f>
        <v>125.533248792225</v>
      </c>
      <c r="G320" s="99" t="n">
        <f aca="false">IF(ABS(F320-F319)&lt;100,F320,"")</f>
        <v>125.533248792225</v>
      </c>
      <c r="H320" s="24" t="n">
        <f aca="false">calc!$Z$320</f>
        <v>5.22685332577956</v>
      </c>
      <c r="M320" s="24" t="str">
        <f aca="false">IF(OR(K320="",L320=""),"",K320+L320)</f>
        <v/>
      </c>
    </row>
    <row r="321" customFormat="false" ht="17.75" hidden="false" customHeight="true" outlineLevel="0" collapsed="false">
      <c r="C321" s="21" t="n">
        <f aca="false">calc!$D$321</f>
        <v>16</v>
      </c>
      <c r="D321" s="21" t="n">
        <f aca="false">calc!$E$321</f>
        <v>11</v>
      </c>
      <c r="E321" s="21" t="n">
        <v>320</v>
      </c>
      <c r="F321" s="98" t="n">
        <f aca="false">calc!$X$321</f>
        <v>137.451712371133</v>
      </c>
      <c r="G321" s="99" t="n">
        <f aca="false">IF(ABS(F321-F320)&lt;100,F321,"")</f>
        <v>137.451712371133</v>
      </c>
      <c r="H321" s="24" t="n">
        <f aca="false">calc!$Z$321</f>
        <v>5.26128639995129</v>
      </c>
      <c r="M321" s="24" t="str">
        <f aca="false">IF(OR(K321="",L321=""),"",K321+L321)</f>
        <v/>
      </c>
    </row>
    <row r="322" customFormat="false" ht="17.75" hidden="false" customHeight="true" outlineLevel="0" collapsed="false">
      <c r="C322" s="21" t="n">
        <f aca="false">calc!$D$322</f>
        <v>17</v>
      </c>
      <c r="D322" s="21" t="n">
        <f aca="false">calc!$E$322</f>
        <v>11</v>
      </c>
      <c r="E322" s="21" t="n">
        <v>321</v>
      </c>
      <c r="F322" s="98" t="n">
        <f aca="false">calc!$X$322</f>
        <v>149.482692483686</v>
      </c>
      <c r="G322" s="99" t="n">
        <f aca="false">IF(ABS(F322-F321)&lt;100,F322,"")</f>
        <v>149.482692483686</v>
      </c>
      <c r="H322" s="24" t="n">
        <f aca="false">calc!$Z$322</f>
        <v>5.06784368971004</v>
      </c>
      <c r="M322" s="24" t="str">
        <f aca="false">IF(OR(K322="",L322=""),"",K322+L322)</f>
        <v/>
      </c>
    </row>
    <row r="323" customFormat="false" ht="17.75" hidden="false" customHeight="true" outlineLevel="0" collapsed="false">
      <c r="C323" s="21" t="n">
        <f aca="false">calc!$D$323</f>
        <v>18</v>
      </c>
      <c r="D323" s="21" t="n">
        <f aca="false">calc!$E$323</f>
        <v>11</v>
      </c>
      <c r="E323" s="21" t="n">
        <v>322</v>
      </c>
      <c r="F323" s="98" t="n">
        <f aca="false">calc!$X$323</f>
        <v>161.701585993357</v>
      </c>
      <c r="G323" s="99" t="n">
        <f aca="false">IF(ABS(F323-F322)&lt;100,F323,"")</f>
        <v>161.701585993357</v>
      </c>
      <c r="H323" s="24" t="n">
        <f aca="false">calc!$Z$323</f>
        <v>4.64466565311599</v>
      </c>
      <c r="M323" s="24" t="str">
        <f aca="false">IF(OR(K323="",L323=""),"",K323+L323)</f>
        <v/>
      </c>
    </row>
    <row r="324" customFormat="false" ht="17.75" hidden="false" customHeight="true" outlineLevel="0" collapsed="false">
      <c r="C324" s="21" t="n">
        <f aca="false">calc!$D$324</f>
        <v>19</v>
      </c>
      <c r="D324" s="21" t="n">
        <f aca="false">calc!$E$324</f>
        <v>11</v>
      </c>
      <c r="E324" s="21" t="n">
        <v>323</v>
      </c>
      <c r="F324" s="98" t="n">
        <f aca="false">calc!$X$324</f>
        <v>174.185185669329</v>
      </c>
      <c r="G324" s="99" t="n">
        <f aca="false">IF(ABS(F324-F323)&lt;100,F324,"")</f>
        <v>174.185185669329</v>
      </c>
      <c r="H324" s="24" t="n">
        <f aca="false">calc!$Z$324</f>
        <v>3.99506772715678</v>
      </c>
      <c r="M324" s="24" t="str">
        <f aca="false">IF(OR(K324="",L324=""),"",K324+L324)</f>
        <v/>
      </c>
    </row>
    <row r="325" customFormat="false" ht="17.75" hidden="false" customHeight="true" outlineLevel="0" collapsed="false">
      <c r="C325" s="21" t="n">
        <f aca="false">calc!$D$325</f>
        <v>20</v>
      </c>
      <c r="D325" s="21" t="n">
        <f aca="false">calc!$E$325</f>
        <v>11</v>
      </c>
      <c r="E325" s="21" t="n">
        <v>324</v>
      </c>
      <c r="F325" s="98" t="n">
        <f aca="false">calc!$X$325</f>
        <v>187.004234181886</v>
      </c>
      <c r="G325" s="99" t="n">
        <f aca="false">IF(ABS(F325-F324)&lt;100,F325,"")</f>
        <v>187.004234181886</v>
      </c>
      <c r="H325" s="24" t="n">
        <f aca="false">calc!$Z$325</f>
        <v>3.13065461451838</v>
      </c>
      <c r="M325" s="24" t="str">
        <f aca="false">IF(OR(K325="",L325=""),"",K325+L325)</f>
        <v/>
      </c>
    </row>
    <row r="326" customFormat="false" ht="17.75" hidden="false" customHeight="true" outlineLevel="0" collapsed="false">
      <c r="C326" s="21" t="n">
        <f aca="false">calc!$D$326</f>
        <v>21</v>
      </c>
      <c r="D326" s="21" t="n">
        <f aca="false">calc!$E$326</f>
        <v>11</v>
      </c>
      <c r="E326" s="21" t="n">
        <v>325</v>
      </c>
      <c r="F326" s="98" t="n">
        <f aca="false">calc!$X$326</f>
        <v>200.212803470833</v>
      </c>
      <c r="G326" s="99" t="n">
        <f aca="false">IF(ABS(F326-F325)&lt;100,F326,"")</f>
        <v>200.212803470833</v>
      </c>
      <c r="H326" s="24" t="n">
        <f aca="false">calc!$Z$326</f>
        <v>2.07589954900839</v>
      </c>
      <c r="M326" s="24" t="str">
        <f aca="false">IF(OR(K326="",L326=""),"",K326+L326)</f>
        <v/>
      </c>
    </row>
    <row r="327" customFormat="false" ht="17.75" hidden="false" customHeight="true" outlineLevel="0" collapsed="false">
      <c r="C327" s="21" t="n">
        <f aca="false">calc!$D$327</f>
        <v>22</v>
      </c>
      <c r="D327" s="21" t="n">
        <f aca="false">calc!$E$327</f>
        <v>11</v>
      </c>
      <c r="E327" s="21" t="n">
        <v>326</v>
      </c>
      <c r="F327" s="98" t="n">
        <f aca="false">calc!$X$327</f>
        <v>213.836728784527</v>
      </c>
      <c r="G327" s="99" t="n">
        <f aca="false">IF(ABS(F327-F326)&lt;100,F327,"")</f>
        <v>213.836728784527</v>
      </c>
      <c r="H327" s="24" t="n">
        <f aca="false">calc!$Z$327</f>
        <v>0.873012412437264</v>
      </c>
      <c r="M327" s="24" t="str">
        <f aca="false">IF(OR(K327="",L327=""),"",K327+L327)</f>
        <v/>
      </c>
    </row>
    <row r="328" customFormat="false" ht="17.75" hidden="false" customHeight="true" outlineLevel="0" collapsed="false">
      <c r="C328" s="21" t="n">
        <f aca="false">calc!$D$328</f>
        <v>23</v>
      </c>
      <c r="D328" s="21" t="n">
        <f aca="false">calc!$E$328</f>
        <v>11</v>
      </c>
      <c r="E328" s="21" t="n">
        <v>327</v>
      </c>
      <c r="F328" s="98" t="n">
        <f aca="false">calc!$X$328</f>
        <v>227.864338400268</v>
      </c>
      <c r="G328" s="99" t="n">
        <f aca="false">IF(ABS(F328-F327)&lt;100,F328,"")</f>
        <v>227.864338400268</v>
      </c>
      <c r="H328" s="24" t="n">
        <f aca="false">calc!$Z$328</f>
        <v>-0.415101233019352</v>
      </c>
      <c r="M328" s="24" t="str">
        <f aca="false">IF(OR(K328="",L328=""),"",K328+L328)</f>
        <v/>
      </c>
    </row>
    <row r="329" customFormat="false" ht="17.75" hidden="false" customHeight="true" outlineLevel="0" collapsed="false">
      <c r="C329" s="21" t="n">
        <f aca="false">calc!$D$329</f>
        <v>24</v>
      </c>
      <c r="D329" s="21" t="n">
        <f aca="false">calc!$E$329</f>
        <v>11</v>
      </c>
      <c r="E329" s="21" t="n">
        <v>328</v>
      </c>
      <c r="F329" s="98" t="n">
        <f aca="false">calc!$X$329</f>
        <v>242.242658802664</v>
      </c>
      <c r="G329" s="99" t="n">
        <f aca="false">IF(ABS(F329-F328)&lt;100,F329,"")</f>
        <v>242.242658802664</v>
      </c>
      <c r="H329" s="24" t="n">
        <f aca="false">calc!$Z$329</f>
        <v>-1.70634060414147</v>
      </c>
      <c r="M329" s="24" t="str">
        <f aca="false">IF(OR(K329="",L329=""),"",K329+L329)</f>
        <v/>
      </c>
    </row>
    <row r="330" customFormat="false" ht="17.75" hidden="false" customHeight="true" outlineLevel="0" collapsed="false">
      <c r="C330" s="21" t="n">
        <f aca="false">calc!$D$330</f>
        <v>25</v>
      </c>
      <c r="D330" s="21" t="n">
        <f aca="false">calc!$E$330</f>
        <v>11</v>
      </c>
      <c r="E330" s="21" t="n">
        <v>329</v>
      </c>
      <c r="F330" s="98" t="n">
        <f aca="false">calc!$X$330</f>
        <v>256.881056440832</v>
      </c>
      <c r="G330" s="99" t="n">
        <f aca="false">IF(ABS(F330-F329)&lt;100,F330,"")</f>
        <v>256.881056440832</v>
      </c>
      <c r="H330" s="24" t="n">
        <f aca="false">calc!$Z$330</f>
        <v>-2.9068979867014</v>
      </c>
      <c r="M330" s="24" t="str">
        <f aca="false">IF(OR(K330="",L330=""),"",K330+L330)</f>
        <v/>
      </c>
    </row>
    <row r="331" customFormat="false" ht="17.75" hidden="false" customHeight="true" outlineLevel="0" collapsed="false">
      <c r="C331" s="21" t="n">
        <f aca="false">calc!$D$331</f>
        <v>26</v>
      </c>
      <c r="D331" s="21" t="n">
        <f aca="false">calc!$E$331</f>
        <v>11</v>
      </c>
      <c r="E331" s="21" t="n">
        <v>330</v>
      </c>
      <c r="F331" s="98" t="n">
        <f aca="false">calc!$X$331</f>
        <v>271.662259544313</v>
      </c>
      <c r="G331" s="99" t="n">
        <f aca="false">IF(ABS(F331-F330)&lt;100,F331,"")</f>
        <v>271.662259544313</v>
      </c>
      <c r="H331" s="24" t="n">
        <f aca="false">calc!$Z$331</f>
        <v>-3.92387172256173</v>
      </c>
      <c r="M331" s="24" t="str">
        <f aca="false">IF(OR(K331="",L331=""),"",K331+L331)</f>
        <v/>
      </c>
    </row>
    <row r="332" customFormat="false" ht="17.75" hidden="false" customHeight="true" outlineLevel="0" collapsed="false">
      <c r="C332" s="21" t="n">
        <f aca="false">calc!$D$332</f>
        <v>27</v>
      </c>
      <c r="D332" s="21" t="n">
        <f aca="false">calc!$E$332</f>
        <v>11</v>
      </c>
      <c r="E332" s="21" t="n">
        <v>331</v>
      </c>
      <c r="F332" s="98" t="n">
        <f aca="false">calc!$X$332</f>
        <v>286.458563456936</v>
      </c>
      <c r="G332" s="99" t="n">
        <f aca="false">IF(ABS(F332-F331)&lt;100,F332,"")</f>
        <v>286.458563456936</v>
      </c>
      <c r="H332" s="24" t="n">
        <f aca="false">calc!$Z$332</f>
        <v>-4.67951083618171</v>
      </c>
      <c r="M332" s="24" t="str">
        <f aca="false">IF(OR(K332="",L332=""),"",K332+L332)</f>
        <v/>
      </c>
    </row>
    <row r="333" customFormat="false" ht="17.75" hidden="false" customHeight="true" outlineLevel="0" collapsed="false">
      <c r="C333" s="21" t="n">
        <f aca="false">calc!$D$333</f>
        <v>28</v>
      </c>
      <c r="D333" s="21" t="n">
        <f aca="false">calc!$E$333</f>
        <v>11</v>
      </c>
      <c r="E333" s="21" t="n">
        <v>332</v>
      </c>
      <c r="F333" s="98" t="n">
        <f aca="false">calc!$X$333</f>
        <v>301.149503080899</v>
      </c>
      <c r="G333" s="99" t="n">
        <f aca="false">IF(ABS(F333-F332)&lt;100,F333,"")</f>
        <v>301.149503080899</v>
      </c>
      <c r="H333" s="24" t="n">
        <f aca="false">calc!$Z$333</f>
        <v>-5.122446277896</v>
      </c>
      <c r="M333" s="24" t="str">
        <f aca="false">IF(OR(K333="",L333=""),"",K333+L333)</f>
        <v/>
      </c>
    </row>
    <row r="334" customFormat="false" ht="17.75" hidden="false" customHeight="true" outlineLevel="0" collapsed="false">
      <c r="C334" s="21" t="n">
        <f aca="false">calc!$D$334</f>
        <v>29</v>
      </c>
      <c r="D334" s="21" t="n">
        <f aca="false">calc!$E$334</f>
        <v>11</v>
      </c>
      <c r="E334" s="21" t="n">
        <v>333</v>
      </c>
      <c r="F334" s="98" t="n">
        <f aca="false">calc!$X$334</f>
        <v>315.636904115504</v>
      </c>
      <c r="G334" s="99" t="n">
        <f aca="false">IF(ABS(F334-F333)&lt;100,F334,"")</f>
        <v>315.636904115504</v>
      </c>
      <c r="H334" s="24" t="n">
        <f aca="false">calc!$Z$334</f>
        <v>-5.23253542446183</v>
      </c>
      <c r="M334" s="24" t="str">
        <f aca="false">IF(OR(K334="",L334=""),"",K334+L334)</f>
        <v/>
      </c>
    </row>
    <row r="335" customFormat="false" ht="17.75" hidden="false" customHeight="true" outlineLevel="0" collapsed="false">
      <c r="C335" s="21" t="n">
        <f aca="false">calc!$D$335</f>
        <v>30</v>
      </c>
      <c r="D335" s="21" t="n">
        <f aca="false">calc!$E$335</f>
        <v>11</v>
      </c>
      <c r="E335" s="21" t="n">
        <v>334</v>
      </c>
      <c r="F335" s="98" t="n">
        <f aca="false">calc!$X$335</f>
        <v>329.854115646048</v>
      </c>
      <c r="G335" s="99" t="n">
        <f aca="false">IF(ABS(F335-F334)&lt;100,F335,"")</f>
        <v>329.854115646048</v>
      </c>
      <c r="H335" s="24" t="n">
        <f aca="false">calc!$Z$335</f>
        <v>-5.0188883045079</v>
      </c>
      <c r="M335" s="24" t="str">
        <f aca="false">IF(OR(K335="",L335=""),"",K335+L335)</f>
        <v/>
      </c>
    </row>
    <row r="336" customFormat="false" ht="17.75" hidden="false" customHeight="true" outlineLevel="0" collapsed="false">
      <c r="C336" s="21" t="n">
        <f aca="false">calc!$D$336</f>
        <v>1</v>
      </c>
      <c r="D336" s="21" t="n">
        <f aca="false">calc!$E$336</f>
        <v>12</v>
      </c>
      <c r="E336" s="21" t="n">
        <v>335</v>
      </c>
      <c r="F336" s="98" t="n">
        <f aca="false">calc!$X$336</f>
        <v>343.768043975242</v>
      </c>
      <c r="G336" s="99" t="n">
        <f aca="false">IF(ABS(F336-F335)&lt;100,F336,"")</f>
        <v>343.768043975242</v>
      </c>
      <c r="H336" s="24" t="n">
        <f aca="false">calc!$Z$336</f>
        <v>-4.51336231357037</v>
      </c>
      <c r="M336" s="24" t="str">
        <f aca="false">IF(OR(K336="",L336=""),"",K336+L336)</f>
        <v/>
      </c>
    </row>
    <row r="337" customFormat="false" ht="17.75" hidden="false" customHeight="true" outlineLevel="0" collapsed="false">
      <c r="C337" s="21" t="n">
        <f aca="false">calc!$D$337</f>
        <v>2</v>
      </c>
      <c r="D337" s="21" t="n">
        <f aca="false">calc!$E$337</f>
        <v>12</v>
      </c>
      <c r="E337" s="21" t="n">
        <v>336</v>
      </c>
      <c r="F337" s="98" t="n">
        <f aca="false">calc!$X$337</f>
        <v>357.3746993353</v>
      </c>
      <c r="G337" s="99" t="n">
        <f aca="false">IF(ABS(F337-F336)&lt;100,F337,"")</f>
        <v>357.3746993353</v>
      </c>
      <c r="H337" s="24" t="n">
        <f aca="false">calc!$Z$337</f>
        <v>-3.76281077886549</v>
      </c>
      <c r="M337" s="24" t="str">
        <f aca="false">IF(OR(K337="",L337=""),"",K337+L337)</f>
        <v/>
      </c>
    </row>
    <row r="338" customFormat="false" ht="17.75" hidden="false" customHeight="true" outlineLevel="0" collapsed="false">
      <c r="C338" s="21" t="n">
        <f aca="false">calc!$D$338</f>
        <v>3</v>
      </c>
      <c r="D338" s="21" t="n">
        <f aca="false">calc!$E$338</f>
        <v>12</v>
      </c>
      <c r="E338" s="21" t="n">
        <v>337</v>
      </c>
      <c r="F338" s="98" t="n">
        <f aca="false">calc!$X$338</f>
        <v>10.6906186450432</v>
      </c>
      <c r="G338" s="99" t="str">
        <f aca="false">IF(ABS(F338-F337)&lt;100,F338,"")</f>
        <v/>
      </c>
      <c r="H338" s="24" t="n">
        <f aca="false">calc!$Z$338</f>
        <v>-2.82254887951721</v>
      </c>
      <c r="M338" s="24" t="str">
        <f aca="false">IF(OR(K338="",L338=""),"",K338+L338)</f>
        <v/>
      </c>
    </row>
    <row r="339" customFormat="false" ht="17.75" hidden="false" customHeight="true" outlineLevel="0" collapsed="false">
      <c r="C339" s="21" t="n">
        <f aca="false">calc!$D$339</f>
        <v>4</v>
      </c>
      <c r="D339" s="21" t="n">
        <f aca="false">calc!$E$339</f>
        <v>12</v>
      </c>
      <c r="E339" s="21" t="n">
        <v>338</v>
      </c>
      <c r="F339" s="98" t="n">
        <f aca="false">calc!$X$339</f>
        <v>23.7432305572643</v>
      </c>
      <c r="G339" s="99" t="n">
        <f aca="false">IF(ABS(F339-F338)&lt;100,F339,"")</f>
        <v>23.7432305572643</v>
      </c>
      <c r="H339" s="24" t="n">
        <f aca="false">calc!$Z$339</f>
        <v>-1.75186232152031</v>
      </c>
      <c r="M339" s="24" t="str">
        <f aca="false">IF(OR(K339="",L339=""),"",K339+L339)</f>
        <v/>
      </c>
    </row>
    <row r="340" customFormat="false" ht="17.75" hidden="false" customHeight="true" outlineLevel="0" collapsed="false">
      <c r="C340" s="21" t="n">
        <f aca="false">calc!$D$340</f>
        <v>5</v>
      </c>
      <c r="D340" s="21" t="n">
        <f aca="false">calc!$E$340</f>
        <v>12</v>
      </c>
      <c r="E340" s="21" t="n">
        <v>339</v>
      </c>
      <c r="F340" s="98" t="n">
        <f aca="false">calc!$X$340</f>
        <v>36.5628602441572</v>
      </c>
      <c r="G340" s="99" t="n">
        <f aca="false">IF(ABS(F340-F339)&lt;100,F340,"")</f>
        <v>36.5628602441572</v>
      </c>
      <c r="H340" s="24" t="n">
        <f aca="false">calc!$Z$340</f>
        <v>-0.611066297854834</v>
      </c>
      <c r="M340" s="24" t="str">
        <f aca="false">IF(OR(K340="",L340=""),"",K340+L340)</f>
        <v/>
      </c>
    </row>
    <row r="341" customFormat="false" ht="17.75" hidden="false" customHeight="true" outlineLevel="0" collapsed="false">
      <c r="C341" s="21" t="n">
        <f aca="false">calc!$D$341</f>
        <v>6</v>
      </c>
      <c r="D341" s="21" t="n">
        <f aca="false">calc!$E$341</f>
        <v>12</v>
      </c>
      <c r="E341" s="21" t="n">
        <v>340</v>
      </c>
      <c r="F341" s="98" t="n">
        <f aca="false">calc!$X$341</f>
        <v>49.177912041289</v>
      </c>
      <c r="G341" s="99" t="n">
        <f aca="false">IF(ABS(F341-F340)&lt;100,F341,"")</f>
        <v>49.177912041289</v>
      </c>
      <c r="H341" s="24" t="n">
        <f aca="false">calc!$Z$341</f>
        <v>0.540815026894765</v>
      </c>
      <c r="M341" s="24" t="str">
        <f aca="false">IF(OR(K341="",L341=""),"",K341+L341)</f>
        <v/>
      </c>
    </row>
    <row r="342" customFormat="false" ht="17.75" hidden="false" customHeight="true" outlineLevel="0" collapsed="false">
      <c r="C342" s="21" t="n">
        <f aca="false">calc!$D$342</f>
        <v>7</v>
      </c>
      <c r="D342" s="21" t="n">
        <f aca="false">calc!$E$342</f>
        <v>12</v>
      </c>
      <c r="E342" s="21" t="n">
        <v>341</v>
      </c>
      <c r="F342" s="98" t="n">
        <f aca="false">calc!$X$342</f>
        <v>61.6133636472362</v>
      </c>
      <c r="G342" s="99" t="n">
        <f aca="false">IF(ABS(F342-F341)&lt;100,F342,"")</f>
        <v>61.6133636472362</v>
      </c>
      <c r="H342" s="24" t="n">
        <f aca="false">calc!$Z$342</f>
        <v>1.64835048811211</v>
      </c>
      <c r="M342" s="24" t="str">
        <f aca="false">IF(OR(K342="",L342=""),"",K342+L342)</f>
        <v/>
      </c>
    </row>
    <row r="343" customFormat="false" ht="17.75" hidden="false" customHeight="true" outlineLevel="0" collapsed="false">
      <c r="C343" s="21" t="n">
        <f aca="false">calc!$D$343</f>
        <v>8</v>
      </c>
      <c r="D343" s="21" t="n">
        <f aca="false">calc!$E$343</f>
        <v>12</v>
      </c>
      <c r="E343" s="21" t="n">
        <v>342</v>
      </c>
      <c r="F343" s="98" t="n">
        <f aca="false">calc!$X$343</f>
        <v>73.8916271358785</v>
      </c>
      <c r="G343" s="99" t="n">
        <f aca="false">IF(ABS(F343-F342)&lt;100,F343,"")</f>
        <v>73.8916271358785</v>
      </c>
      <c r="H343" s="24" t="n">
        <f aca="false">calc!$Z$343</f>
        <v>2.66198501452097</v>
      </c>
      <c r="M343" s="24" t="str">
        <f aca="false">IF(OR(K343="",L343=""),"",K343+L343)</f>
        <v/>
      </c>
    </row>
    <row r="344" customFormat="false" ht="17.75" hidden="false" customHeight="true" outlineLevel="0" collapsed="false">
      <c r="C344" s="21" t="n">
        <f aca="false">calc!$D$344</f>
        <v>9</v>
      </c>
      <c r="D344" s="21" t="n">
        <f aca="false">calc!$E$344</f>
        <v>12</v>
      </c>
      <c r="E344" s="21" t="n">
        <v>343</v>
      </c>
      <c r="F344" s="98" t="n">
        <f aca="false">calc!$X$344</f>
        <v>86.0344414763322</v>
      </c>
      <c r="G344" s="99" t="n">
        <f aca="false">IF(ABS(F344-F343)&lt;100,F344,"")</f>
        <v>86.0344414763322</v>
      </c>
      <c r="H344" s="24" t="n">
        <f aca="false">calc!$Z$344</f>
        <v>3.53990295244333</v>
      </c>
      <c r="M344" s="24" t="str">
        <f aca="false">IF(OR(K344="",L344=""),"",K344+L344)</f>
        <v/>
      </c>
    </row>
    <row r="345" customFormat="false" ht="17.75" hidden="false" customHeight="true" outlineLevel="0" collapsed="false">
      <c r="C345" s="21" t="n">
        <f aca="false">calc!$D$345</f>
        <v>10</v>
      </c>
      <c r="D345" s="21" t="n">
        <f aca="false">calc!$E$345</f>
        <v>12</v>
      </c>
      <c r="E345" s="21" t="n">
        <v>344</v>
      </c>
      <c r="F345" s="98" t="n">
        <f aca="false">calc!$X$345</f>
        <v>98.0647771690642</v>
      </c>
      <c r="G345" s="99" t="n">
        <f aca="false">IF(ABS(F345-F344)&lt;100,F345,"")</f>
        <v>98.0647771690642</v>
      </c>
      <c r="H345" s="24" t="n">
        <f aca="false">calc!$Z$345</f>
        <v>4.24906854468358</v>
      </c>
      <c r="M345" s="24" t="str">
        <f aca="false">IF(OR(K345="",L345=""),"",K345+L345)</f>
        <v/>
      </c>
    </row>
    <row r="346" customFormat="false" ht="17.75" hidden="false" customHeight="true" outlineLevel="0" collapsed="false">
      <c r="C346" s="21" t="n">
        <f aca="false">calc!$D$346</f>
        <v>11</v>
      </c>
      <c r="D346" s="21" t="n">
        <f aca="false">calc!$E$346</f>
        <v>12</v>
      </c>
      <c r="E346" s="21" t="n">
        <v>345</v>
      </c>
      <c r="F346" s="98" t="n">
        <f aca="false">calc!$X$346</f>
        <v>110.008450802046</v>
      </c>
      <c r="G346" s="99" t="n">
        <f aca="false">IF(ABS(F346-F345)&lt;100,F346,"")</f>
        <v>110.008450802046</v>
      </c>
      <c r="H346" s="24" t="n">
        <f aca="false">calc!$Z$346</f>
        <v>4.76531880668998</v>
      </c>
      <c r="M346" s="24" t="str">
        <f aca="false">IF(OR(K346="",L346=""),"",K346+L346)</f>
        <v/>
      </c>
    </row>
    <row r="347" customFormat="false" ht="17.75" hidden="false" customHeight="true" outlineLevel="0" collapsed="false">
      <c r="C347" s="21" t="n">
        <f aca="false">calc!$D$347</f>
        <v>12</v>
      </c>
      <c r="D347" s="21" t="n">
        <f aca="false">calc!$E$347</f>
        <v>12</v>
      </c>
      <c r="E347" s="21" t="n">
        <v>346</v>
      </c>
      <c r="F347" s="98" t="n">
        <f aca="false">calc!$X$347</f>
        <v>121.895796960355</v>
      </c>
      <c r="G347" s="99" t="n">
        <f aca="false">IF(ABS(F347-F346)&lt;100,F347,"")</f>
        <v>121.895796960355</v>
      </c>
      <c r="H347" s="24" t="n">
        <f aca="false">calc!$Z$347</f>
        <v>5.07268333694802</v>
      </c>
      <c r="M347" s="24" t="str">
        <f aca="false">IF(OR(K347="",L347=""),"",K347+L347)</f>
        <v/>
      </c>
    </row>
    <row r="348" customFormat="false" ht="17.75" hidden="false" customHeight="true" outlineLevel="0" collapsed="false">
      <c r="C348" s="21" t="n">
        <f aca="false">calc!$D$348</f>
        <v>13</v>
      </c>
      <c r="D348" s="21" t="n">
        <f aca="false">calc!$E$348</f>
        <v>12</v>
      </c>
      <c r="E348" s="21" t="n">
        <v>347</v>
      </c>
      <c r="F348" s="98" t="n">
        <f aca="false">calc!$X$348</f>
        <v>133.763922802152</v>
      </c>
      <c r="G348" s="99" t="n">
        <f aca="false">IF(ABS(F348-F347)&lt;100,F348,"")</f>
        <v>133.763922802152</v>
      </c>
      <c r="H348" s="24" t="n">
        <f aca="false">calc!$Z$348</f>
        <v>5.16225051110133</v>
      </c>
      <c r="M348" s="24" t="str">
        <f aca="false">IF(OR(K348="",L348=""),"",K348+L348)</f>
        <v/>
      </c>
    </row>
    <row r="349" customFormat="false" ht="17.75" hidden="false" customHeight="true" outlineLevel="0" collapsed="false">
      <c r="C349" s="21" t="n">
        <f aca="false">calc!$D$349</f>
        <v>14</v>
      </c>
      <c r="D349" s="21" t="n">
        <f aca="false">calc!$E$349</f>
        <v>12</v>
      </c>
      <c r="E349" s="21" t="n">
        <v>348</v>
      </c>
      <c r="F349" s="98" t="n">
        <f aca="false">calc!$X$349</f>
        <v>145.659632758899</v>
      </c>
      <c r="G349" s="99" t="n">
        <f aca="false">IF(ABS(F349-F348)&lt;100,F349,"")</f>
        <v>145.659632758899</v>
      </c>
      <c r="H349" s="24" t="n">
        <f aca="false">calc!$Z$349</f>
        <v>5.03090459379416</v>
      </c>
      <c r="M349" s="24" t="str">
        <f aca="false">IF(OR(K349="",L349=""),"",K349+L349)</f>
        <v/>
      </c>
    </row>
    <row r="350" customFormat="false" ht="17.75" hidden="false" customHeight="true" outlineLevel="0" collapsed="false">
      <c r="C350" s="21" t="n">
        <f aca="false">calc!$D$350</f>
        <v>15</v>
      </c>
      <c r="D350" s="21" t="n">
        <f aca="false">calc!$E$350</f>
        <v>12</v>
      </c>
      <c r="E350" s="21" t="n">
        <v>349</v>
      </c>
      <c r="F350" s="98" t="n">
        <f aca="false">calc!$X$350</f>
        <v>157.642249679063</v>
      </c>
      <c r="G350" s="99" t="n">
        <f aca="false">IF(ABS(F350-F349)&lt;100,F350,"")</f>
        <v>157.642249679063</v>
      </c>
      <c r="H350" s="24" t="n">
        <f aca="false">calc!$Z$350</f>
        <v>4.68025889221331</v>
      </c>
      <c r="M350" s="24" t="str">
        <f aca="false">IF(OR(K350="",L350=""),"",K350+L350)</f>
        <v/>
      </c>
    </row>
    <row r="351" customFormat="false" ht="17.75" hidden="false" customHeight="true" outlineLevel="0" collapsed="false">
      <c r="C351" s="21" t="n">
        <f aca="false">calc!$D$351</f>
        <v>16</v>
      </c>
      <c r="D351" s="21" t="n">
        <f aca="false">calc!$E$351</f>
        <v>12</v>
      </c>
      <c r="E351" s="21" t="n">
        <v>350</v>
      </c>
      <c r="F351" s="98" t="n">
        <f aca="false">calc!$X$351</f>
        <v>169.784725020684</v>
      </c>
      <c r="G351" s="99" t="n">
        <f aca="false">IF(ABS(F351-F350)&lt;100,F351,"")</f>
        <v>169.784725020684</v>
      </c>
      <c r="H351" s="24" t="n">
        <f aca="false">calc!$Z$351</f>
        <v>4.11620295361598</v>
      </c>
      <c r="M351" s="24" t="str">
        <f aca="false">IF(OR(K351="",L351=""),"",K351+L351)</f>
        <v/>
      </c>
    </row>
    <row r="352" customFormat="false" ht="17.75" hidden="false" customHeight="true" outlineLevel="0" collapsed="false">
      <c r="C352" s="21" t="n">
        <f aca="false">calc!$D$352</f>
        <v>17</v>
      </c>
      <c r="D352" s="21" t="n">
        <f aca="false">calc!$E$352</f>
        <v>12</v>
      </c>
      <c r="E352" s="21" t="n">
        <v>351</v>
      </c>
      <c r="F352" s="98" t="n">
        <f aca="false">calc!$X$352</f>
        <v>182.171132149735</v>
      </c>
      <c r="G352" s="99" t="n">
        <f aca="false">IF(ABS(F352-F351)&lt;100,F352,"")</f>
        <v>182.171132149735</v>
      </c>
      <c r="H352" s="24" t="n">
        <f aca="false">calc!$Z$352</f>
        <v>3.34960808902081</v>
      </c>
      <c r="M352" s="24" t="str">
        <f aca="false">IF(OR(K352="",L352=""),"",K352+L352)</f>
        <v/>
      </c>
    </row>
    <row r="353" customFormat="false" ht="17.75" hidden="false" customHeight="true" outlineLevel="0" collapsed="false">
      <c r="C353" s="21" t="n">
        <f aca="false">calc!$D$353</f>
        <v>18</v>
      </c>
      <c r="D353" s="21" t="n">
        <f aca="false">calc!$E$353</f>
        <v>12</v>
      </c>
      <c r="E353" s="21" t="n">
        <v>352</v>
      </c>
      <c r="F353" s="98" t="n">
        <f aca="false">calc!$X$353</f>
        <v>194.889199363885</v>
      </c>
      <c r="G353" s="99" t="n">
        <f aca="false">IF(ABS(F353-F352)&lt;100,F353,"")</f>
        <v>194.889199363885</v>
      </c>
      <c r="H353" s="24" t="n">
        <f aca="false">calc!$Z$353</f>
        <v>2.39868530073861</v>
      </c>
      <c r="M353" s="24" t="str">
        <f aca="false">IF(OR(K353="",L353=""),"",K353+L353)</f>
        <v/>
      </c>
    </row>
    <row r="354" customFormat="false" ht="17.75" hidden="false" customHeight="true" outlineLevel="0" collapsed="false">
      <c r="C354" s="21" t="n">
        <f aca="false">calc!$D$354</f>
        <v>19</v>
      </c>
      <c r="D354" s="21" t="n">
        <f aca="false">calc!$E$354</f>
        <v>12</v>
      </c>
      <c r="E354" s="21" t="n">
        <v>353</v>
      </c>
      <c r="F354" s="98" t="n">
        <f aca="false">calc!$X$354</f>
        <v>208.01793429262</v>
      </c>
      <c r="G354" s="99" t="n">
        <f aca="false">IF(ABS(F354-F353)&lt;100,F354,"")</f>
        <v>208.01793429262</v>
      </c>
      <c r="H354" s="24" t="n">
        <f aca="false">calc!$Z$354</f>
        <v>1.29302331416126</v>
      </c>
      <c r="M354" s="24" t="str">
        <f aca="false">IF(OR(K354="",L354=""),"",K354+L354)</f>
        <v/>
      </c>
    </row>
    <row r="355" customFormat="false" ht="17.75" hidden="false" customHeight="true" outlineLevel="0" collapsed="false">
      <c r="C355" s="21" t="n">
        <f aca="false">calc!$D$355</f>
        <v>20</v>
      </c>
      <c r="D355" s="21" t="n">
        <f aca="false">calc!$E$355</f>
        <v>12</v>
      </c>
      <c r="E355" s="21" t="n">
        <v>354</v>
      </c>
      <c r="F355" s="98" t="n">
        <f aca="false">calc!$X$355</f>
        <v>221.612207322124</v>
      </c>
      <c r="G355" s="99" t="n">
        <f aca="false">IF(ABS(F355-F354)&lt;100,F355,"")</f>
        <v>221.612207322124</v>
      </c>
      <c r="H355" s="24" t="n">
        <f aca="false">calc!$Z$355</f>
        <v>0.0783686940809536</v>
      </c>
      <c r="M355" s="24" t="str">
        <f aca="false">IF(OR(K355="",L355=""),"",K355+L355)</f>
        <v/>
      </c>
    </row>
    <row r="356" customFormat="false" ht="17.75" hidden="false" customHeight="true" outlineLevel="0" collapsed="false">
      <c r="C356" s="21" t="n">
        <f aca="false">calc!$D$356</f>
        <v>21</v>
      </c>
      <c r="D356" s="21" t="n">
        <f aca="false">calc!$E$356</f>
        <v>12</v>
      </c>
      <c r="E356" s="21" t="n">
        <v>355</v>
      </c>
      <c r="F356" s="98" t="n">
        <f aca="false">calc!$X$356</f>
        <v>235.687739868953</v>
      </c>
      <c r="G356" s="99" t="n">
        <f aca="false">IF(ABS(F356-F355)&lt;100,F356,"")</f>
        <v>235.687739868953</v>
      </c>
      <c r="H356" s="24" t="n">
        <f aca="false">calc!$Z$356</f>
        <v>-1.1799899110254</v>
      </c>
      <c r="M356" s="24" t="str">
        <f aca="false">IF(OR(K356="",L356=""),"",K356+L356)</f>
        <v/>
      </c>
    </row>
    <row r="357" customFormat="false" ht="17.75" hidden="false" customHeight="true" outlineLevel="0" collapsed="false">
      <c r="C357" s="21" t="n">
        <f aca="false">calc!$D$357</f>
        <v>22</v>
      </c>
      <c r="D357" s="21" t="n">
        <f aca="false">calc!$E$357</f>
        <v>12</v>
      </c>
      <c r="E357" s="21" t="n">
        <v>356</v>
      </c>
      <c r="F357" s="98" t="n">
        <f aca="false">calc!$X$357</f>
        <v>250.21062804292</v>
      </c>
      <c r="G357" s="99" t="n">
        <f aca="false">IF(ABS(F357-F356)&lt;100,F357,"")</f>
        <v>250.21062804292</v>
      </c>
      <c r="H357" s="24" t="n">
        <f aca="false">calc!$Z$357</f>
        <v>-2.39810509149876</v>
      </c>
      <c r="M357" s="24" t="str">
        <f aca="false">IF(OR(K357="",L357=""),"",K357+L357)</f>
        <v/>
      </c>
    </row>
    <row r="358" customFormat="false" ht="17.75" hidden="false" customHeight="true" outlineLevel="0" collapsed="false">
      <c r="C358" s="21" t="n">
        <f aca="false">calc!$D$358</f>
        <v>23</v>
      </c>
      <c r="D358" s="21" t="n">
        <f aca="false">calc!$E$358</f>
        <v>12</v>
      </c>
      <c r="E358" s="21" t="n">
        <v>357</v>
      </c>
      <c r="F358" s="98" t="n">
        <f aca="false">calc!$X$358</f>
        <v>265.094937552927</v>
      </c>
      <c r="G358" s="99" t="n">
        <f aca="false">IF(ABS(F358-F357)&lt;100,F358,"")</f>
        <v>265.094937552927</v>
      </c>
      <c r="H358" s="24" t="n">
        <f aca="false">calc!$Z$358</f>
        <v>-3.48075713715624</v>
      </c>
      <c r="M358" s="24" t="str">
        <f aca="false">IF(OR(K358="",L358=""),"",K358+L358)</f>
        <v/>
      </c>
    </row>
    <row r="359" customFormat="false" ht="17.75" hidden="false" customHeight="true" outlineLevel="0" collapsed="false">
      <c r="C359" s="21" t="n">
        <f aca="false">calc!$D$359</f>
        <v>24</v>
      </c>
      <c r="D359" s="21" t="n">
        <f aca="false">calc!$E$359</f>
        <v>12</v>
      </c>
      <c r="E359" s="21" t="n">
        <v>358</v>
      </c>
      <c r="F359" s="98" t="n">
        <f aca="false">calc!$X$359</f>
        <v>280.210089482344</v>
      </c>
      <c r="G359" s="99" t="n">
        <f aca="false">IF(ABS(F359-F358)&lt;100,F359,"")</f>
        <v>280.210089482344</v>
      </c>
      <c r="H359" s="24" t="n">
        <f aca="false">calc!$Z$359</f>
        <v>-4.33515782288436</v>
      </c>
      <c r="M359" s="24" t="str">
        <f aca="false">IF(OR(K359="",L359=""),"",K359+L359)</f>
        <v/>
      </c>
    </row>
    <row r="360" customFormat="false" ht="17.75" hidden="false" customHeight="true" outlineLevel="0" collapsed="false">
      <c r="C360" s="21" t="n">
        <f aca="false">calc!$D$360</f>
        <v>25</v>
      </c>
      <c r="D360" s="21" t="n">
        <f aca="false">calc!$E$360</f>
        <v>12</v>
      </c>
      <c r="E360" s="21" t="n">
        <v>359</v>
      </c>
      <c r="F360" s="98" t="n">
        <f aca="false">calc!$X$360</f>
        <v>295.397228076956</v>
      </c>
      <c r="G360" s="99" t="n">
        <f aca="false">IF(ABS(F360-F359)&lt;100,F360,"")</f>
        <v>295.397228076956</v>
      </c>
      <c r="H360" s="24" t="n">
        <f aca="false">calc!$Z$360</f>
        <v>-4.88743482972885</v>
      </c>
      <c r="M360" s="24" t="str">
        <f aca="false">IF(OR(K360="",L360=""),"",K360+L360)</f>
        <v/>
      </c>
    </row>
    <row r="361" customFormat="false" ht="17.75" hidden="false" customHeight="true" outlineLevel="0" collapsed="false">
      <c r="C361" s="21" t="n">
        <f aca="false">calc!$D$361</f>
        <v>26</v>
      </c>
      <c r="D361" s="21" t="n">
        <f aca="false">calc!$E$361</f>
        <v>12</v>
      </c>
      <c r="E361" s="21" t="n">
        <v>360</v>
      </c>
      <c r="F361" s="98" t="n">
        <f aca="false">calc!$X$361</f>
        <v>310.491314068965</v>
      </c>
      <c r="G361" s="99" t="n">
        <f aca="false">IF(ABS(F361-F360)&lt;100,F361,"")</f>
        <v>310.491314068965</v>
      </c>
      <c r="H361" s="24" t="n">
        <f aca="false">calc!$Z$361</f>
        <v>-5.09614359973514</v>
      </c>
      <c r="M361" s="24" t="str">
        <f aca="false">IF(OR(K361="",L361=""),"",K361+L361)</f>
        <v/>
      </c>
    </row>
    <row r="362" customFormat="false" ht="17.75" hidden="false" customHeight="true" outlineLevel="0" collapsed="false">
      <c r="C362" s="21" t="n">
        <f aca="false">calc!$D$362</f>
        <v>27</v>
      </c>
      <c r="D362" s="21" t="n">
        <f aca="false">calc!$E$362</f>
        <v>12</v>
      </c>
      <c r="E362" s="21" t="n">
        <v>361</v>
      </c>
      <c r="F362" s="98" t="n">
        <f aca="false">calc!$X$362</f>
        <v>325.344115817139</v>
      </c>
      <c r="G362" s="99" t="n">
        <f aca="false">IF(ABS(F362-F361)&lt;100,F362,"")</f>
        <v>325.344115817139</v>
      </c>
      <c r="H362" s="24" t="n">
        <f aca="false">calc!$Z$362</f>
        <v>-4.95780933667567</v>
      </c>
      <c r="M362" s="24" t="str">
        <f aca="false">IF(OR(K362="",L362=""),"",K362+L362)</f>
        <v/>
      </c>
    </row>
    <row r="363" customFormat="false" ht="17.75" hidden="false" customHeight="true" outlineLevel="0" collapsed="false">
      <c r="C363" s="21" t="n">
        <f aca="false">calc!$D$363</f>
        <v>28</v>
      </c>
      <c r="D363" s="21" t="n">
        <f aca="false">calc!$E$363</f>
        <v>12</v>
      </c>
      <c r="E363" s="21" t="n">
        <v>362</v>
      </c>
      <c r="F363" s="98" t="n">
        <f aca="false">calc!$X$363</f>
        <v>339.843085631707</v>
      </c>
      <c r="G363" s="99" t="n">
        <f aca="false">IF(ABS(F363-F362)&lt;100,F363,"")</f>
        <v>339.843085631707</v>
      </c>
      <c r="H363" s="24" t="n">
        <f aca="false">calc!$Z$363</f>
        <v>-4.50308691148224</v>
      </c>
      <c r="M363" s="24" t="str">
        <f aca="false">IF(OR(K363="",L363=""),"",K363+L363)</f>
        <v/>
      </c>
    </row>
    <row r="364" customFormat="false" ht="17.75" hidden="false" customHeight="true" outlineLevel="0" collapsed="false">
      <c r="C364" s="21" t="n">
        <f aca="false">calc!$D$364</f>
        <v>29</v>
      </c>
      <c r="D364" s="21" t="n">
        <f aca="false">calc!$E$364</f>
        <v>12</v>
      </c>
      <c r="E364" s="21" t="n">
        <v>363</v>
      </c>
      <c r="F364" s="98" t="n">
        <f aca="false">calc!$X$364</f>
        <v>353.922351039411</v>
      </c>
      <c r="G364" s="99" t="n">
        <f aca="false">IF(ABS(F364-F363)&lt;100,F364,"")</f>
        <v>353.922351039411</v>
      </c>
      <c r="H364" s="24" t="n">
        <f aca="false">calc!$Z$364</f>
        <v>-3.78626290749168</v>
      </c>
      <c r="M364" s="24" t="str">
        <f aca="false">IF(OR(K364="",L364=""),"",K364+L364)</f>
        <v/>
      </c>
    </row>
    <row r="365" customFormat="false" ht="17.75" hidden="false" customHeight="true" outlineLevel="0" collapsed="false">
      <c r="C365" s="21" t="n">
        <f aca="false">calc!$D$365</f>
        <v>30</v>
      </c>
      <c r="D365" s="21" t="n">
        <f aca="false">calc!$E$365</f>
        <v>12</v>
      </c>
      <c r="E365" s="21" t="n">
        <v>364</v>
      </c>
      <c r="F365" s="98" t="n">
        <f aca="false">calc!$X$365</f>
        <v>7.56428366360329</v>
      </c>
      <c r="G365" s="99" t="str">
        <f aca="false">IF(ABS(F365-F364)&lt;100,F365,"")</f>
        <v/>
      </c>
      <c r="H365" s="24" t="n">
        <f aca="false">calc!$Z$365</f>
        <v>-2.87296297525442</v>
      </c>
      <c r="M365" s="24" t="str">
        <f aca="false">IF(OR(K365="",L365=""),"",K365+L365)</f>
        <v/>
      </c>
    </row>
    <row r="366" customFormat="false" ht="17.75" hidden="false" customHeight="true" outlineLevel="0" collapsed="false">
      <c r="C366" s="21" t="n">
        <f aca="false">calc!$D$366</f>
        <v>31</v>
      </c>
      <c r="D366" s="21" t="n">
        <f aca="false">calc!$E$366</f>
        <v>12</v>
      </c>
      <c r="E366" s="21" t="n">
        <v>365</v>
      </c>
      <c r="F366" s="98" t="n">
        <f aca="false">calc!$X$366</f>
        <v>20.7925850264124</v>
      </c>
      <c r="G366" s="99" t="n">
        <f aca="false">IF(ABS(F366-F365)&lt;100,F366,"")</f>
        <v>20.7925850264124</v>
      </c>
      <c r="H366" s="24" t="n">
        <f aca="false">calc!$Z$366</f>
        <v>-1.8302473703225</v>
      </c>
      <c r="M366" s="24" t="str">
        <f aca="false">IF(OR(K366="",L366=""),"",K366+L366)</f>
        <v/>
      </c>
    </row>
    <row r="367" customFormat="false" ht="17.75" hidden="false" customHeight="true" outlineLevel="0" collapsed="false">
      <c r="C367" s="21" t="n">
        <f aca="false">calc!$D$367</f>
        <v>1</v>
      </c>
      <c r="D367" s="21" t="n">
        <f aca="false">calc!$E$367</f>
        <v>13</v>
      </c>
      <c r="E367" s="21" t="n">
        <v>366</v>
      </c>
      <c r="F367" s="98" t="n">
        <f aca="false">calc!$X$367</f>
        <v>33.6597689909561</v>
      </c>
      <c r="G367" s="99" t="n">
        <f aca="false">IF(ABS(F367-F366)&lt;100,F367,"")</f>
        <v>33.6597689909561</v>
      </c>
      <c r="H367" s="24" t="n">
        <f aca="false">calc!$Z$367</f>
        <v>-0.720909893957177</v>
      </c>
      <c r="M367" s="24" t="str">
        <f aca="false">IF(OR(K367="",L367=""),"",K367+L367)</f>
        <v/>
      </c>
    </row>
    <row r="369" customFormat="false" ht="17.75" hidden="false" customHeight="true" outlineLevel="0" collapsed="false">
      <c r="H369" s="24" t="n">
        <f aca="false">calc!$Z$369</f>
        <v>-5.28057804125969</v>
      </c>
    </row>
    <row r="370" customFormat="false" ht="17.75" hidden="false" customHeight="true" outlineLevel="0" collapsed="false">
      <c r="H370" s="24" t="n">
        <f aca="false">calc!$Z$370</f>
        <v>5.27490317409464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&amp;C&amp;10&amp;Kffffff&amp;A</oddHeader>
    <oddFooter>&amp;C&amp;10&amp;KffffffSeite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3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625" defaultRowHeight="17" zeroHeight="false" outlineLevelRow="0" outlineLevelCol="0"/>
  <cols>
    <col collapsed="false" customWidth="true" hidden="false" outlineLevel="0" max="1" min="1" style="2" width="11.84"/>
    <col collapsed="false" customWidth="true" hidden="false" outlineLevel="0" max="2" min="2" style="2" width="10.94"/>
    <col collapsed="false" customWidth="true" hidden="false" outlineLevel="0" max="3" min="3" style="2" width="6.43"/>
    <col collapsed="false" customWidth="true" hidden="false" outlineLevel="0" max="4" min="4" style="2" width="7.33"/>
    <col collapsed="false" customWidth="true" hidden="false" outlineLevel="0" max="5" min="5" style="102" width="6.32"/>
    <col collapsed="false" customWidth="true" hidden="false" outlineLevel="0" max="6" min="6" style="103" width="9.02"/>
    <col collapsed="false" customWidth="true" hidden="false" outlineLevel="0" max="7" min="7" style="103" width="7.22"/>
    <col collapsed="false" customWidth="true" hidden="false" outlineLevel="0" max="8" min="8" style="16" width="7.22"/>
    <col collapsed="false" customWidth="true" hidden="false" outlineLevel="0" max="9" min="9" style="104" width="8.91"/>
    <col collapsed="false" customWidth="true" hidden="false" outlineLevel="0" max="10" min="10" style="6" width="8.68"/>
    <col collapsed="false" customWidth="true" hidden="false" outlineLevel="0" max="11" min="11" style="16" width="8.23"/>
    <col collapsed="false" customWidth="true" hidden="false" outlineLevel="0" max="12" min="12" style="6" width="11.96"/>
    <col collapsed="false" customWidth="true" hidden="false" outlineLevel="0" max="13" min="13" style="6" width="13.08"/>
    <col collapsed="false" customWidth="true" hidden="false" outlineLevel="0" max="14" min="14" style="6" width="20.75"/>
    <col collapsed="false" customWidth="true" hidden="false" outlineLevel="0" max="15" min="15" style="3" width="9.48"/>
    <col collapsed="false" customWidth="false" hidden="false" outlineLevel="0" max="64" min="16" style="1" width="9.59"/>
  </cols>
  <sheetData>
    <row r="1" customFormat="false" ht="17" hidden="false" customHeight="true" outlineLevel="0" collapsed="false">
      <c r="A1" s="3" t="str">
        <f aca="false">L__B!$A$1</f>
        <v>UT</v>
      </c>
      <c r="B1" s="3" t="str">
        <f aca="false">L__B!$B$1</f>
        <v>Year</v>
      </c>
      <c r="C1" s="105" t="str">
        <f aca="false">L__B!$C$1</f>
        <v>Date</v>
      </c>
      <c r="D1" s="105" t="str">
        <f aca="false">L__B!$D$1</f>
        <v>Month</v>
      </c>
      <c r="E1" s="106" t="str">
        <f aca="false">L__B!$E$1</f>
        <v>Day</v>
      </c>
      <c r="F1" s="107" t="str">
        <f aca="false">calc!$AN$1</f>
        <v>Lsun</v>
      </c>
      <c r="G1" s="107"/>
      <c r="H1" s="108" t="str">
        <f aca="false">calc!$X$1</f>
        <v>Lm</v>
      </c>
      <c r="I1" s="109" t="s">
        <v>34</v>
      </c>
      <c r="J1" s="4" t="str">
        <f aca="false">calc!$Z$1</f>
        <v>Bm</v>
      </c>
      <c r="K1" s="108" t="s">
        <v>74</v>
      </c>
      <c r="L1" s="4" t="s">
        <v>75</v>
      </c>
      <c r="M1" s="4" t="s">
        <v>76</v>
      </c>
      <c r="N1" s="4" t="s">
        <v>77</v>
      </c>
      <c r="O1" s="3" t="s">
        <v>78</v>
      </c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</row>
    <row r="2" customFormat="false" ht="17" hidden="false" customHeight="true" outlineLevel="0" collapsed="false">
      <c r="A2" s="103" t="n">
        <f aca="false">L__B!$A$2</f>
        <v>0</v>
      </c>
      <c r="B2" s="8" t="n">
        <f aca="false">L__B!$B$2</f>
        <v>2022</v>
      </c>
      <c r="C2" s="2" t="n">
        <f aca="false">L__B!$C$2</f>
        <v>1</v>
      </c>
      <c r="D2" s="2" t="n">
        <f aca="false">L__B!$D$2</f>
        <v>1</v>
      </c>
      <c r="E2" s="102" t="n">
        <f aca="false">L__B!$E$2</f>
        <v>1</v>
      </c>
      <c r="F2" s="103" t="n">
        <f aca="false">calc!$AN$2</f>
        <v>280.635833489028</v>
      </c>
      <c r="H2" s="16" t="n">
        <f aca="false">calc!$X$2</f>
        <v>255.503500790361</v>
      </c>
      <c r="J2" s="6" t="n">
        <f aca="false">calc!$Z$2</f>
        <v>-1.28827268204613</v>
      </c>
      <c r="K2" s="16" t="n">
        <f aca="false">10*J2</f>
        <v>-12.8827268204613</v>
      </c>
      <c r="L2" s="6" t="str">
        <f aca="false">IF(ABS(H2-F2)/17.4&lt;1,(H2-F2)/17.4,"")</f>
        <v/>
      </c>
      <c r="M2" s="6" t="n">
        <f aca="false">IF(ABS(J2)/1.58&lt;1,J2/1.58/1.58,"")</f>
        <v>-0.516052187969127</v>
      </c>
      <c r="N2" s="6" t="str">
        <f aca="false">IF(OR(L2="",M2=""),"",ABS(L2)+ABS(M2))</f>
        <v/>
      </c>
      <c r="O2" s="3" t="str">
        <f aca="false">IF(OR(L2="",M2=""),"","SE?")</f>
        <v/>
      </c>
    </row>
    <row r="3" customFormat="false" ht="17" hidden="false" customHeight="true" outlineLevel="0" collapsed="false">
      <c r="C3" s="2" t="n">
        <f aca="false">L__B!$C$3</f>
        <v>2</v>
      </c>
      <c r="D3" s="2" t="n">
        <f aca="false">L__B!$D$3</f>
        <v>1</v>
      </c>
      <c r="E3" s="102" t="n">
        <f aca="false">L__B!$E$3</f>
        <v>2</v>
      </c>
      <c r="F3" s="103" t="n">
        <f aca="false">calc!$AN$3</f>
        <v>281.621480852784</v>
      </c>
      <c r="G3" s="103" t="n">
        <f aca="false">IF(ABS(F3-F2)&lt;100,F3,"")</f>
        <v>281.621480852784</v>
      </c>
      <c r="H3" s="16" t="n">
        <f aca="false">calc!$X$3</f>
        <v>270.630280687013</v>
      </c>
      <c r="I3" s="104" t="n">
        <f aca="false">IF(ABS(H3-H2)&lt;100,H3,"")</f>
        <v>270.630280687013</v>
      </c>
      <c r="J3" s="6" t="n">
        <f aca="false">calc!$Z$3</f>
        <v>-2.55508761166881</v>
      </c>
      <c r="K3" s="16" t="n">
        <f aca="false">10*J3</f>
        <v>-25.5508761166881</v>
      </c>
      <c r="L3" s="6" t="n">
        <f aca="false">IF(ABS(H3-F3)/17.4&lt;1,(H3-F3)/17.4,"")</f>
        <v>-0.631678170446588</v>
      </c>
      <c r="M3" s="6" t="str">
        <f aca="false">IF(ABS(J3)/1.58&lt;1,J3/1.58/1.58,"")</f>
        <v/>
      </c>
      <c r="N3" s="6" t="str">
        <f aca="false">IF(OR(L3="",M3=""),"",ABS(L3)+ABS(M3))</f>
        <v/>
      </c>
      <c r="O3" s="3" t="str">
        <f aca="false">IF(OR(L3="",M3=""),"","SE?")</f>
        <v/>
      </c>
    </row>
    <row r="4" customFormat="false" ht="17" hidden="false" customHeight="true" outlineLevel="0" collapsed="false">
      <c r="B4" s="9" t="str">
        <f aca="false">L__B!$B$4</f>
        <v>common year</v>
      </c>
      <c r="C4" s="2" t="n">
        <f aca="false">L__B!$C$4</f>
        <v>3</v>
      </c>
      <c r="D4" s="2" t="n">
        <f aca="false">L__B!$D$4</f>
        <v>1</v>
      </c>
      <c r="E4" s="102" t="n">
        <f aca="false">L__B!$E$4</f>
        <v>3</v>
      </c>
      <c r="F4" s="103" t="n">
        <f aca="false">calc!$AN$4</f>
        <v>282.607128216541</v>
      </c>
      <c r="G4" s="103" t="n">
        <f aca="false">IF(ABS(F4-F3)&lt;100,F4,"")</f>
        <v>282.607128216541</v>
      </c>
      <c r="H4" s="16" t="n">
        <f aca="false">calc!$X$4</f>
        <v>285.774196974343</v>
      </c>
      <c r="I4" s="104" t="n">
        <f aca="false">IF(ABS(H4-H3)&lt;100,H4,"")</f>
        <v>285.774196974343</v>
      </c>
      <c r="J4" s="6" t="n">
        <f aca="false">calc!$Z$4</f>
        <v>-3.64005114031867</v>
      </c>
      <c r="K4" s="16" t="n">
        <f aca="false">10*J4</f>
        <v>-36.4005114031867</v>
      </c>
      <c r="L4" s="6" t="n">
        <f aca="false">IF(ABS(H4-F4)/17.4&lt;1,(H4-F4)/17.4,"")</f>
        <v>0.182015445850692</v>
      </c>
      <c r="M4" s="6" t="str">
        <f aca="false">IF(ABS(J4)/1.58&lt;1,J4/1.58/1.58,"")</f>
        <v/>
      </c>
      <c r="N4" s="6" t="str">
        <f aca="false">IF(OR(L4="",M4=""),"",ABS(L4)+ABS(M4))</f>
        <v/>
      </c>
      <c r="O4" s="3" t="str">
        <f aca="false">IF(OR(L4="",M4=""),"","SE?")</f>
        <v/>
      </c>
    </row>
    <row r="5" customFormat="false" ht="17" hidden="false" customHeight="true" outlineLevel="0" collapsed="false">
      <c r="C5" s="2" t="n">
        <f aca="false">L__B!$C$5</f>
        <v>4</v>
      </c>
      <c r="D5" s="2" t="n">
        <f aca="false">L__B!$D$5</f>
        <v>1</v>
      </c>
      <c r="E5" s="102" t="n">
        <f aca="false">L__B!$E$5</f>
        <v>4</v>
      </c>
      <c r="F5" s="103" t="n">
        <f aca="false">calc!$AN$5</f>
        <v>283.592775580299</v>
      </c>
      <c r="G5" s="103" t="n">
        <f aca="false">IF(ABS(F5-F4)&lt;100,F5,"")</f>
        <v>283.592775580299</v>
      </c>
      <c r="H5" s="16" t="n">
        <f aca="false">calc!$X$5</f>
        <v>300.777616038617</v>
      </c>
      <c r="I5" s="104" t="n">
        <f aca="false">IF(ABS(H5-H4)&lt;100,H5,"")</f>
        <v>300.777616038617</v>
      </c>
      <c r="J5" s="6" t="n">
        <f aca="false">calc!$Z$5</f>
        <v>-4.46078950765045</v>
      </c>
      <c r="K5" s="16" t="n">
        <f aca="false">10*J5</f>
        <v>-44.6078950765045</v>
      </c>
      <c r="L5" s="6" t="n">
        <f aca="false">IF(ABS(H5-F5)/17.4&lt;1,(H5-F5)/17.4,"")</f>
        <v>0.987634509098751</v>
      </c>
      <c r="M5" s="6" t="str">
        <f aca="false">IF(ABS(J5)/1.58&lt;1,J5/1.58/1.58,"")</f>
        <v/>
      </c>
      <c r="N5" s="6" t="str">
        <f aca="false">IF(OR(L5="",M5=""),"",ABS(L5)+ABS(M5))</f>
        <v/>
      </c>
      <c r="O5" s="3" t="str">
        <f aca="false">IF(OR(L5="",M5=""),"","SE?")</f>
        <v/>
      </c>
    </row>
    <row r="6" customFormat="false" ht="17" hidden="false" customHeight="true" outlineLevel="0" collapsed="false">
      <c r="A6" s="87" t="s">
        <v>70</v>
      </c>
      <c r="C6" s="2" t="n">
        <f aca="false">L__B!$C$6</f>
        <v>5</v>
      </c>
      <c r="D6" s="2" t="n">
        <f aca="false">L__B!$D$6</f>
        <v>1</v>
      </c>
      <c r="E6" s="102" t="n">
        <f aca="false">L__B!$E$6</f>
        <v>5</v>
      </c>
      <c r="F6" s="103" t="n">
        <f aca="false">calc!$AN$6</f>
        <v>284.578422944058</v>
      </c>
      <c r="G6" s="103" t="n">
        <f aca="false">IF(ABS(F6-F5)&lt;100,F6,"")</f>
        <v>284.578422944058</v>
      </c>
      <c r="H6" s="16" t="n">
        <f aca="false">calc!$X$6</f>
        <v>315.495865837717</v>
      </c>
      <c r="I6" s="104" t="n">
        <f aca="false">IF(ABS(H6-H5)&lt;100,H6,"")</f>
        <v>315.495865837717</v>
      </c>
      <c r="J6" s="6" t="n">
        <f aca="false">calc!$Z$6</f>
        <v>-4.96752173632252</v>
      </c>
      <c r="K6" s="16" t="n">
        <f aca="false">10*J6</f>
        <v>-49.6752173632252</v>
      </c>
      <c r="L6" s="6" t="str">
        <f aca="false">IF(ABS(H6-F6)/17.4&lt;1,(H6-F6)/17.4,"")</f>
        <v/>
      </c>
      <c r="M6" s="6" t="str">
        <f aca="false">IF(ABS(J6)/1.58&lt;1,J6/1.58/1.58,"")</f>
        <v/>
      </c>
      <c r="N6" s="6" t="str">
        <f aca="false">IF(OR(L6="",M6=""),"",ABS(L6)+ABS(M6))</f>
        <v/>
      </c>
      <c r="O6" s="3" t="str">
        <f aca="false">IF(OR(L6="",M6=""),"","SE?")</f>
        <v/>
      </c>
    </row>
    <row r="7" customFormat="false" ht="17" hidden="false" customHeight="true" outlineLevel="0" collapsed="false">
      <c r="A7" s="111" t="s">
        <v>71</v>
      </c>
      <c r="C7" s="2" t="n">
        <f aca="false">L__B!$C$7</f>
        <v>6</v>
      </c>
      <c r="D7" s="2" t="n">
        <f aca="false">L__B!$D$7</f>
        <v>1</v>
      </c>
      <c r="E7" s="102" t="n">
        <f aca="false">L__B!$E$7</f>
        <v>6</v>
      </c>
      <c r="F7" s="103" t="n">
        <f aca="false">calc!$AN$7</f>
        <v>285.564070307815</v>
      </c>
      <c r="G7" s="103" t="n">
        <f aca="false">IF(ABS(F7-F6)&lt;100,F7,"")</f>
        <v>285.564070307815</v>
      </c>
      <c r="H7" s="16" t="n">
        <f aca="false">calc!$X$7</f>
        <v>329.816304134304</v>
      </c>
      <c r="I7" s="104" t="n">
        <f aca="false">IF(ABS(H7-H6)&lt;100,H7,"")</f>
        <v>329.816304134304</v>
      </c>
      <c r="J7" s="6" t="n">
        <f aca="false">calc!$Z$7</f>
        <v>-5.14672355850508</v>
      </c>
      <c r="K7" s="16" t="n">
        <f aca="false">10*J7</f>
        <v>-51.4672355850508</v>
      </c>
      <c r="L7" s="6" t="str">
        <f aca="false">IF(ABS(H7-F7)/17.4&lt;1,(H7-F7)/17.4,"")</f>
        <v/>
      </c>
      <c r="M7" s="6" t="str">
        <f aca="false">IF(ABS(J7)/1.58&lt;1,J7/1.58/1.58,"")</f>
        <v/>
      </c>
      <c r="N7" s="6" t="str">
        <f aca="false">IF(OR(L7="",M7=""),"",ABS(L7)+ABS(M7))</f>
        <v/>
      </c>
      <c r="O7" s="3" t="str">
        <f aca="false">IF(OR(L7="",M7=""),"","SE?")</f>
        <v/>
      </c>
    </row>
    <row r="8" customFormat="false" ht="17" hidden="false" customHeight="true" outlineLevel="0" collapsed="false">
      <c r="C8" s="2" t="n">
        <f aca="false">L__B!$C$8</f>
        <v>7</v>
      </c>
      <c r="D8" s="2" t="n">
        <f aca="false">L__B!$D$8</f>
        <v>1</v>
      </c>
      <c r="E8" s="102" t="n">
        <f aca="false">L__B!$E$8</f>
        <v>7</v>
      </c>
      <c r="F8" s="103" t="n">
        <f aca="false">calc!$AN$8</f>
        <v>286.549717671578</v>
      </c>
      <c r="G8" s="103" t="n">
        <f aca="false">IF(ABS(F8-F7)&lt;100,F8,"")</f>
        <v>286.549717671578</v>
      </c>
      <c r="H8" s="16" t="n">
        <f aca="false">calc!$X$8</f>
        <v>343.670941532728</v>
      </c>
      <c r="I8" s="104" t="n">
        <f aca="false">IF(ABS(H8-H7)&lt;100,H8,"")</f>
        <v>343.670941532728</v>
      </c>
      <c r="J8" s="6" t="n">
        <f aca="false">calc!$Z$8</f>
        <v>-5.0159370933491</v>
      </c>
      <c r="K8" s="16" t="n">
        <f aca="false">10*J8</f>
        <v>-50.1593709334911</v>
      </c>
      <c r="L8" s="6" t="str">
        <f aca="false">IF(ABS(H8-F8)/17.4&lt;1,(H8-F8)/17.4,"")</f>
        <v/>
      </c>
      <c r="M8" s="6" t="str">
        <f aca="false">IF(ABS(J8)/1.58&lt;1,J8/1.58/1.58,"")</f>
        <v/>
      </c>
      <c r="N8" s="6" t="str">
        <f aca="false">IF(OR(L8="",M8=""),"",ABS(L8)+ABS(M8))</f>
        <v/>
      </c>
      <c r="O8" s="3" t="str">
        <f aca="false">IF(OR(L8="",M8=""),"","SE?")</f>
        <v/>
      </c>
    </row>
    <row r="9" customFormat="false" ht="17" hidden="false" customHeight="true" outlineLevel="0" collapsed="false">
      <c r="C9" s="2" t="n">
        <f aca="false">L__B!$C$9</f>
        <v>8</v>
      </c>
      <c r="D9" s="2" t="n">
        <f aca="false">L__B!$D$9</f>
        <v>1</v>
      </c>
      <c r="E9" s="102" t="n">
        <f aca="false">L__B!$E$9</f>
        <v>8</v>
      </c>
      <c r="F9" s="103" t="n">
        <f aca="false">calc!$AN$9</f>
        <v>287.535365035335</v>
      </c>
      <c r="G9" s="103" t="n">
        <f aca="false">IF(ABS(F9-F8)&lt;100,F9,"")</f>
        <v>287.535365035335</v>
      </c>
      <c r="H9" s="16" t="n">
        <f aca="false">calc!$X$9</f>
        <v>357.040560046742</v>
      </c>
      <c r="I9" s="104" t="n">
        <f aca="false">IF(ABS(H9-H8)&lt;100,H9,"")</f>
        <v>357.040560046742</v>
      </c>
      <c r="J9" s="6" t="n">
        <f aca="false">calc!$Z$9</f>
        <v>-4.61334322548896</v>
      </c>
      <c r="K9" s="16" t="n">
        <f aca="false">10*J9</f>
        <v>-46.1334322548896</v>
      </c>
      <c r="L9" s="6" t="str">
        <f aca="false">IF(ABS(H9-F9)/17.4&lt;1,(H9-F9)/17.4,"")</f>
        <v/>
      </c>
      <c r="M9" s="6" t="str">
        <f aca="false">IF(ABS(J9)/1.58&lt;1,J9/1.58/1.58,"")</f>
        <v/>
      </c>
      <c r="N9" s="6" t="str">
        <f aca="false">IF(OR(L9="",M9=""),"",ABS(L9)+ABS(M9))</f>
        <v/>
      </c>
      <c r="O9" s="3" t="str">
        <f aca="false">IF(OR(L9="",M9=""),"","SE?")</f>
        <v/>
      </c>
    </row>
    <row r="10" customFormat="false" ht="17" hidden="false" customHeight="true" outlineLevel="0" collapsed="false">
      <c r="C10" s="2" t="n">
        <f aca="false">L__B!$C$10</f>
        <v>9</v>
      </c>
      <c r="D10" s="2" t="n">
        <f aca="false">L__B!$D$10</f>
        <v>1</v>
      </c>
      <c r="E10" s="102" t="n">
        <f aca="false">L__B!$E$10</f>
        <v>9</v>
      </c>
      <c r="F10" s="103" t="n">
        <f aca="false">calc!$AN$10</f>
        <v>288.521012399095</v>
      </c>
      <c r="G10" s="103" t="n">
        <f aca="false">IF(ABS(F10-F9)&lt;100,F10,"")</f>
        <v>288.521012399095</v>
      </c>
      <c r="H10" s="16" t="n">
        <f aca="false">calc!$X$10</f>
        <v>9.95057808894471</v>
      </c>
      <c r="I10" s="104" t="str">
        <f aca="false">IF(ABS(H10-H9)&lt;100,H10,"")</f>
        <v/>
      </c>
      <c r="J10" s="6" t="n">
        <f aca="false">calc!$Z$10</f>
        <v>-3.98682328667054</v>
      </c>
      <c r="K10" s="16" t="n">
        <f aca="false">10*J10</f>
        <v>-39.8682328667054</v>
      </c>
      <c r="L10" s="6" t="str">
        <f aca="false">IF(ABS(H10-F10)/17.4&lt;1,(H10-F10)/17.4,"")</f>
        <v/>
      </c>
      <c r="M10" s="6" t="str">
        <f aca="false">IF(ABS(J10)/1.58&lt;1,J10/1.58/1.58,"")</f>
        <v/>
      </c>
      <c r="N10" s="6" t="str">
        <f aca="false">IF(OR(L10="",M10=""),"",ABS(L10)+ABS(M10))</f>
        <v/>
      </c>
      <c r="O10" s="3" t="str">
        <f aca="false">IF(OR(L10="",M10=""),"","SE?")</f>
        <v/>
      </c>
    </row>
    <row r="11" customFormat="false" ht="17" hidden="false" customHeight="true" outlineLevel="0" collapsed="false">
      <c r="C11" s="2" t="n">
        <f aca="false">L__B!$C$11</f>
        <v>10</v>
      </c>
      <c r="D11" s="2" t="n">
        <f aca="false">L__B!$D$11</f>
        <v>1</v>
      </c>
      <c r="E11" s="102" t="n">
        <f aca="false">L__B!$E$11</f>
        <v>10</v>
      </c>
      <c r="F11" s="103" t="n">
        <f aca="false">calc!$AN$11</f>
        <v>289.506659762856</v>
      </c>
      <c r="G11" s="103" t="n">
        <f aca="false">IF(ABS(F11-F10)&lt;100,F11,"")</f>
        <v>289.506659762856</v>
      </c>
      <c r="H11" s="16" t="n">
        <f aca="false">calc!$X$11</f>
        <v>22.4608825404082</v>
      </c>
      <c r="I11" s="104" t="n">
        <f aca="false">IF(ABS(H11-H10)&lt;100,H11,"")</f>
        <v>22.4608825404082</v>
      </c>
      <c r="J11" s="6" t="n">
        <f aca="false">calc!$Z$11</f>
        <v>-3.18590773425046</v>
      </c>
      <c r="K11" s="16" t="n">
        <f aca="false">10*J11</f>
        <v>-31.8590773425046</v>
      </c>
      <c r="L11" s="6" t="str">
        <f aca="false">IF(ABS(H11-F11)/17.4&lt;1,(H11-F11)/17.4,"")</f>
        <v/>
      </c>
      <c r="M11" s="6" t="str">
        <f aca="false">IF(ABS(J11)/1.58&lt;1,J11/1.58/1.58,"")</f>
        <v/>
      </c>
      <c r="N11" s="6" t="str">
        <f aca="false">IF(OR(L11="",M11=""),"",ABS(L11)+ABS(M11))</f>
        <v/>
      </c>
      <c r="O11" s="3" t="str">
        <f aca="false">IF(OR(L11="",M11=""),"","SE?")</f>
        <v/>
      </c>
    </row>
    <row r="12" customFormat="false" ht="17" hidden="false" customHeight="true" outlineLevel="0" collapsed="false">
      <c r="C12" s="2" t="n">
        <f aca="false">L__B!$C$12</f>
        <v>11</v>
      </c>
      <c r="D12" s="2" t="n">
        <f aca="false">L__B!$D$12</f>
        <v>1</v>
      </c>
      <c r="E12" s="102" t="n">
        <f aca="false">L__B!$E$12</f>
        <v>11</v>
      </c>
      <c r="F12" s="103" t="n">
        <f aca="false">calc!$AN$12</f>
        <v>290.492307126617</v>
      </c>
      <c r="G12" s="103" t="n">
        <f aca="false">IF(ABS(F12-F11)&lt;100,F12,"")</f>
        <v>290.492307126617</v>
      </c>
      <c r="H12" s="16" t="n">
        <f aca="false">calc!$X$12</f>
        <v>34.6528908100701</v>
      </c>
      <c r="I12" s="104" t="n">
        <f aca="false">IF(ABS(H12-H11)&lt;100,H12,"")</f>
        <v>34.6528908100701</v>
      </c>
      <c r="J12" s="6" t="n">
        <f aca="false">calc!$Z$12</f>
        <v>-2.25770665972653</v>
      </c>
      <c r="K12" s="16" t="n">
        <f aca="false">10*J12</f>
        <v>-22.5770665972653</v>
      </c>
      <c r="L12" s="6" t="str">
        <f aca="false">IF(ABS(H12-F12)/17.4&lt;1,(H12-F12)/17.4,"")</f>
        <v/>
      </c>
      <c r="M12" s="6" t="str">
        <f aca="false">IF(ABS(J12)/1.58&lt;1,J12/1.58/1.58,"")</f>
        <v/>
      </c>
      <c r="N12" s="6" t="str">
        <f aca="false">IF(OR(L12="",M12=""),"",ABS(L12)+ABS(M12))</f>
        <v/>
      </c>
      <c r="O12" s="3" t="str">
        <f aca="false">IF(OR(L12="",M12=""),"","SE?")</f>
        <v/>
      </c>
    </row>
    <row r="13" customFormat="false" ht="17" hidden="false" customHeight="true" outlineLevel="0" collapsed="false">
      <c r="C13" s="2" t="n">
        <f aca="false">L__B!$C$13</f>
        <v>12</v>
      </c>
      <c r="D13" s="2" t="n">
        <f aca="false">L__B!$D$13</f>
        <v>1</v>
      </c>
      <c r="E13" s="102" t="n">
        <f aca="false">L__B!$E$13</f>
        <v>12</v>
      </c>
      <c r="F13" s="103" t="n">
        <f aca="false">calc!$AN$13</f>
        <v>291.477954490376</v>
      </c>
      <c r="G13" s="103" t="n">
        <f aca="false">IF(ABS(F13-F12)&lt;100,F13,"")</f>
        <v>291.477954490376</v>
      </c>
      <c r="H13" s="16" t="n">
        <f aca="false">calc!$X$13</f>
        <v>46.6170136719149</v>
      </c>
      <c r="I13" s="104" t="n">
        <f aca="false">IF(ABS(H13-H12)&lt;100,H13,"")</f>
        <v>46.6170136719149</v>
      </c>
      <c r="J13" s="6" t="n">
        <f aca="false">calc!$Z$13</f>
        <v>-1.2460832063634</v>
      </c>
      <c r="K13" s="16" t="n">
        <f aca="false">10*J13</f>
        <v>-12.460832063634</v>
      </c>
      <c r="L13" s="6" t="str">
        <f aca="false">IF(ABS(H13-F13)/17.4&lt;1,(H13-F13)/17.4,"")</f>
        <v/>
      </c>
      <c r="M13" s="6" t="n">
        <f aca="false">IF(ABS(J13)/1.58&lt;1,J13/1.58/1.58,"")</f>
        <v>-0.499152061513942</v>
      </c>
      <c r="N13" s="6" t="str">
        <f aca="false">IF(OR(L13="",M13=""),"",ABS(L13)+ABS(M13))</f>
        <v/>
      </c>
      <c r="O13" s="3" t="str">
        <f aca="false">IF(OR(L13="",M13=""),"","SE?")</f>
        <v/>
      </c>
    </row>
    <row r="14" customFormat="false" ht="17" hidden="false" customHeight="true" outlineLevel="0" collapsed="false">
      <c r="C14" s="2" t="n">
        <f aca="false">L__B!$C$14</f>
        <v>13</v>
      </c>
      <c r="D14" s="2" t="n">
        <f aca="false">L__B!$D$14</f>
        <v>1</v>
      </c>
      <c r="E14" s="102" t="n">
        <f aca="false">L__B!$E$14</f>
        <v>13</v>
      </c>
      <c r="F14" s="103" t="n">
        <f aca="false">calc!$AN$14</f>
        <v>292.463601854137</v>
      </c>
      <c r="G14" s="103" t="n">
        <f aca="false">IF(ABS(F14-F13)&lt;100,F14,"")</f>
        <v>292.463601854137</v>
      </c>
      <c r="H14" s="16" t="n">
        <f aca="false">calc!$X$14</f>
        <v>58.4426830689097</v>
      </c>
      <c r="I14" s="104" t="n">
        <f aca="false">IF(ABS(H14-H13)&lt;100,H14,"")</f>
        <v>58.4426830689097</v>
      </c>
      <c r="J14" s="6" t="n">
        <f aca="false">calc!$Z$14</f>
        <v>-0.192567319054914</v>
      </c>
      <c r="K14" s="16" t="n">
        <f aca="false">10*J14</f>
        <v>-1.92567319054914</v>
      </c>
      <c r="L14" s="6" t="str">
        <f aca="false">IF(ABS(H14-F14)/17.4&lt;1,(H14-F14)/17.4,"")</f>
        <v/>
      </c>
      <c r="M14" s="6" t="n">
        <f aca="false">IF(ABS(J14)/1.58&lt;1,J14/1.58/1.58,"")</f>
        <v>-0.0771380063511113</v>
      </c>
      <c r="N14" s="6" t="str">
        <f aca="false">IF(OR(L14="",M14=""),"",ABS(L14)+ABS(M14))</f>
        <v/>
      </c>
      <c r="O14" s="3" t="str">
        <f aca="false">IF(OR(L14="",M14=""),"","SE?")</f>
        <v/>
      </c>
    </row>
    <row r="15" customFormat="false" ht="17" hidden="false" customHeight="true" outlineLevel="0" collapsed="false">
      <c r="C15" s="2" t="n">
        <f aca="false">L__B!$C$15</f>
        <v>14</v>
      </c>
      <c r="D15" s="2" t="n">
        <f aca="false">L__B!$D$15</f>
        <v>1</v>
      </c>
      <c r="E15" s="102" t="n">
        <f aca="false">L__B!$E$15</f>
        <v>14</v>
      </c>
      <c r="F15" s="103" t="n">
        <f aca="false">calc!$AN$15</f>
        <v>293.4492492179</v>
      </c>
      <c r="G15" s="103" t="n">
        <f aca="false">IF(ABS(F15-F14)&lt;100,F15,"")</f>
        <v>293.4492492179</v>
      </c>
      <c r="H15" s="16" t="n">
        <f aca="false">calc!$X$15</f>
        <v>70.2117128915543</v>
      </c>
      <c r="I15" s="104" t="n">
        <f aca="false">IF(ABS(H15-H14)&lt;100,H15,"")</f>
        <v>70.2117128915543</v>
      </c>
      <c r="J15" s="6" t="n">
        <f aca="false">calc!$Z$15</f>
        <v>0.862355725967563</v>
      </c>
      <c r="K15" s="16" t="n">
        <f aca="false">10*J15</f>
        <v>8.62355725967563</v>
      </c>
      <c r="L15" s="6" t="str">
        <f aca="false">IF(ABS(H15-F15)/17.4&lt;1,(H15-F15)/17.4,"")</f>
        <v/>
      </c>
      <c r="M15" s="6" t="n">
        <f aca="false">IF(ABS(J15)/1.58&lt;1,J15/1.58/1.58,"")</f>
        <v>0.345439723588993</v>
      </c>
      <c r="N15" s="6" t="str">
        <f aca="false">IF(OR(L15="",M15=""),"",ABS(L15)+ABS(M15))</f>
        <v/>
      </c>
      <c r="O15" s="3" t="str">
        <f aca="false">IF(OR(L15="",M15=""),"","SE?")</f>
        <v/>
      </c>
    </row>
    <row r="16" customFormat="false" ht="17" hidden="false" customHeight="true" outlineLevel="0" collapsed="false">
      <c r="C16" s="2" t="n">
        <f aca="false">L__B!$C$16</f>
        <v>15</v>
      </c>
      <c r="D16" s="2" t="n">
        <f aca="false">L__B!$D$16</f>
        <v>1</v>
      </c>
      <c r="E16" s="102" t="n">
        <f aca="false">L__B!$E$16</f>
        <v>15</v>
      </c>
      <c r="F16" s="103" t="n">
        <f aca="false">calc!$AN$16</f>
        <v>294.434896581663</v>
      </c>
      <c r="G16" s="103" t="n">
        <f aca="false">IF(ABS(F16-F15)&lt;100,F16,"")</f>
        <v>294.434896581663</v>
      </c>
      <c r="H16" s="16" t="n">
        <f aca="false">calc!$X$16</f>
        <v>81.9945707121534</v>
      </c>
      <c r="I16" s="104" t="n">
        <f aca="false">IF(ABS(H16-H15)&lt;100,H16,"")</f>
        <v>81.9945707121534</v>
      </c>
      <c r="J16" s="6" t="n">
        <f aca="false">calc!$Z$16</f>
        <v>1.87839746641635</v>
      </c>
      <c r="K16" s="16" t="n">
        <f aca="false">10*J16</f>
        <v>18.7839746641635</v>
      </c>
      <c r="L16" s="6" t="str">
        <f aca="false">IF(ABS(H16-F16)/17.4&lt;1,(H16-F16)/17.4,"")</f>
        <v/>
      </c>
      <c r="M16" s="6" t="str">
        <f aca="false">IF(ABS(J16)/1.58&lt;1,J16/1.58/1.58,"")</f>
        <v/>
      </c>
      <c r="N16" s="6" t="str">
        <f aca="false">IF(OR(L16="",M16=""),"",ABS(L16)+ABS(M16))</f>
        <v/>
      </c>
      <c r="O16" s="3" t="str">
        <f aca="false">IF(OR(L16="",M16=""),"","SE?")</f>
        <v/>
      </c>
    </row>
    <row r="17" customFormat="false" ht="17" hidden="false" customHeight="true" outlineLevel="0" collapsed="false">
      <c r="C17" s="2" t="n">
        <f aca="false">L__B!$C$17</f>
        <v>16</v>
      </c>
      <c r="D17" s="2" t="n">
        <f aca="false">L__B!$D$17</f>
        <v>1</v>
      </c>
      <c r="E17" s="102" t="n">
        <f aca="false">L__B!$E$17</f>
        <v>16</v>
      </c>
      <c r="F17" s="103" t="n">
        <f aca="false">calc!$AN$17</f>
        <v>295.420543945425</v>
      </c>
      <c r="G17" s="103" t="n">
        <f aca="false">IF(ABS(F17-F16)&lt;100,F17,"")</f>
        <v>295.420543945425</v>
      </c>
      <c r="H17" s="16" t="n">
        <f aca="false">calc!$X$17</f>
        <v>93.8485741940223</v>
      </c>
      <c r="I17" s="104" t="n">
        <f aca="false">IF(ABS(H17-H16)&lt;100,H17,"")</f>
        <v>93.8485741940223</v>
      </c>
      <c r="J17" s="6" t="n">
        <f aca="false">calc!$Z$17</f>
        <v>2.81534585577153</v>
      </c>
      <c r="K17" s="16" t="n">
        <f aca="false">10*J17</f>
        <v>28.1534585577153</v>
      </c>
      <c r="L17" s="6" t="str">
        <f aca="false">IF(ABS(H17-F17)/17.4&lt;1,(H17-F17)/17.4,"")</f>
        <v/>
      </c>
      <c r="M17" s="6" t="str">
        <f aca="false">IF(ABS(J17)/1.58&lt;1,J17/1.58/1.58,"")</f>
        <v/>
      </c>
      <c r="N17" s="6" t="str">
        <f aca="false">IF(OR(L17="",M17=""),"",ABS(L17)+ABS(M17))</f>
        <v/>
      </c>
      <c r="O17" s="3" t="str">
        <f aca="false">IF(OR(L17="",M17=""),"","SE?")</f>
        <v/>
      </c>
    </row>
    <row r="18" customFormat="false" ht="17" hidden="false" customHeight="true" outlineLevel="0" collapsed="false">
      <c r="C18" s="2" t="n">
        <f aca="false">L__B!$C$18</f>
        <v>17</v>
      </c>
      <c r="D18" s="2" t="n">
        <f aca="false">L__B!$D$18</f>
        <v>1</v>
      </c>
      <c r="E18" s="102" t="n">
        <f aca="false">L__B!$E$18</f>
        <v>17</v>
      </c>
      <c r="F18" s="103" t="n">
        <f aca="false">calc!$AN$18</f>
        <v>296.406191309188</v>
      </c>
      <c r="G18" s="103" t="n">
        <f aca="false">IF(ABS(F18-F17)&lt;100,F18,"")</f>
        <v>296.406191309188</v>
      </c>
      <c r="H18" s="16" t="n">
        <f aca="false">calc!$X$18</f>
        <v>105.81717307145</v>
      </c>
      <c r="I18" s="104" t="n">
        <f aca="false">IF(ABS(H18-H17)&lt;100,H18,"")</f>
        <v>105.81717307145</v>
      </c>
      <c r="J18" s="6" t="n">
        <f aca="false">calc!$Z$18</f>
        <v>3.63366432594681</v>
      </c>
      <c r="K18" s="16" t="n">
        <f aca="false">10*J18</f>
        <v>36.3366432594681</v>
      </c>
      <c r="L18" s="6" t="str">
        <f aca="false">IF(ABS(H18-F18)/17.4&lt;1,(H18-F18)/17.4,"")</f>
        <v/>
      </c>
      <c r="M18" s="6" t="str">
        <f aca="false">IF(ABS(J18)/1.58&lt;1,J18/1.58/1.58,"")</f>
        <v/>
      </c>
      <c r="N18" s="6" t="str">
        <f aca="false">IF(OR(L18="",M18=""),"",ABS(L18)+ABS(M18))</f>
        <v/>
      </c>
      <c r="O18" s="3" t="str">
        <f aca="false">IF(OR(L18="",M18=""),"","SE?")</f>
        <v/>
      </c>
    </row>
    <row r="19" customFormat="false" ht="17" hidden="false" customHeight="true" outlineLevel="0" collapsed="false">
      <c r="C19" s="2" t="n">
        <f aca="false">L__B!$C$19</f>
        <v>18</v>
      </c>
      <c r="D19" s="2" t="n">
        <f aca="false">L__B!$D$19</f>
        <v>1</v>
      </c>
      <c r="E19" s="102" t="n">
        <f aca="false">L__B!$E$19</f>
        <v>18</v>
      </c>
      <c r="F19" s="103" t="n">
        <f aca="false">calc!$AN$19</f>
        <v>297.391838672953</v>
      </c>
      <c r="G19" s="103" t="n">
        <f aca="false">IF(ABS(F19-F18)&lt;100,F19,"")</f>
        <v>297.391838672953</v>
      </c>
      <c r="H19" s="16" t="n">
        <f aca="false">calc!$X$19</f>
        <v>117.930081347734</v>
      </c>
      <c r="I19" s="104" t="n">
        <f aca="false">IF(ABS(H19-H18)&lt;100,H19,"")</f>
        <v>117.930081347734</v>
      </c>
      <c r="J19" s="6" t="n">
        <f aca="false">calc!$Z$19</f>
        <v>4.29572213224921</v>
      </c>
      <c r="K19" s="16" t="n">
        <f aca="false">10*J19</f>
        <v>42.9572213224921</v>
      </c>
      <c r="L19" s="6" t="str">
        <f aca="false">IF(ABS(H19-F19)/17.4&lt;1,(H19-F19)/17.4,"")</f>
        <v/>
      </c>
      <c r="M19" s="6" t="str">
        <f aca="false">IF(ABS(J19)/1.58&lt;1,J19/1.58/1.58,"")</f>
        <v/>
      </c>
      <c r="N19" s="6" t="str">
        <f aca="false">IF(OR(L19="",M19=""),"",ABS(L19)+ABS(M19))</f>
        <v/>
      </c>
      <c r="O19" s="3" t="str">
        <f aca="false">IF(OR(L19="",M19=""),"","SE?")</f>
        <v/>
      </c>
    </row>
    <row r="20" customFormat="false" ht="17" hidden="false" customHeight="true" outlineLevel="0" collapsed="false">
      <c r="C20" s="2" t="n">
        <f aca="false">L__B!$C$20</f>
        <v>19</v>
      </c>
      <c r="D20" s="2" t="n">
        <f aca="false">L__B!$D$20</f>
        <v>1</v>
      </c>
      <c r="E20" s="102" t="n">
        <f aca="false">L__B!$E$20</f>
        <v>19</v>
      </c>
      <c r="F20" s="103" t="n">
        <f aca="false">calc!$AN$20</f>
        <v>298.377486036719</v>
      </c>
      <c r="G20" s="103" t="n">
        <f aca="false">IF(ABS(F20-F19)&lt;100,F20,"")</f>
        <v>298.377486036719</v>
      </c>
      <c r="H20" s="16" t="n">
        <f aca="false">calc!$X$20</f>
        <v>130.204631226459</v>
      </c>
      <c r="I20" s="104" t="n">
        <f aca="false">IF(ABS(H20-H19)&lt;100,H20,"")</f>
        <v>130.204631226459</v>
      </c>
      <c r="J20" s="6" t="n">
        <f aca="false">calc!$Z$20</f>
        <v>4.76755123613836</v>
      </c>
      <c r="K20" s="16" t="n">
        <f aca="false">10*J20</f>
        <v>47.6755123613836</v>
      </c>
      <c r="L20" s="6" t="str">
        <f aca="false">IF(ABS(H20-F20)/17.4&lt;1,(H20-F20)/17.4,"")</f>
        <v/>
      </c>
      <c r="M20" s="6" t="str">
        <f aca="false">IF(ABS(J20)/1.58&lt;1,J20/1.58/1.58,"")</f>
        <v/>
      </c>
      <c r="N20" s="6" t="str">
        <f aca="false">IF(OR(L20="",M20=""),"",ABS(L20)+ABS(M20))</f>
        <v/>
      </c>
      <c r="O20" s="3" t="str">
        <f aca="false">IF(OR(L20="",M20=""),"","SE?")</f>
        <v/>
      </c>
    </row>
    <row r="21" customFormat="false" ht="17" hidden="false" customHeight="true" outlineLevel="0" collapsed="false">
      <c r="C21" s="2" t="n">
        <f aca="false">L__B!$C$21</f>
        <v>20</v>
      </c>
      <c r="D21" s="2" t="n">
        <f aca="false">L__B!$D$21</f>
        <v>1</v>
      </c>
      <c r="E21" s="102" t="n">
        <f aca="false">L__B!$E$21</f>
        <v>20</v>
      </c>
      <c r="F21" s="103" t="n">
        <f aca="false">calc!$AN$21</f>
        <v>299.363133400482</v>
      </c>
      <c r="G21" s="103" t="n">
        <f aca="false">IF(ABS(F21-F20)&lt;100,F21,"")</f>
        <v>299.363133400482</v>
      </c>
      <c r="H21" s="16" t="n">
        <f aca="false">calc!$X$21</f>
        <v>142.648903313803</v>
      </c>
      <c r="I21" s="104" t="n">
        <f aca="false">IF(ABS(H21-H20)&lt;100,H21,"")</f>
        <v>142.648903313803</v>
      </c>
      <c r="J21" s="6" t="n">
        <f aca="false">calc!$Z$21</f>
        <v>5.02094376415562</v>
      </c>
      <c r="K21" s="16" t="n">
        <f aca="false">10*J21</f>
        <v>50.2094376415562</v>
      </c>
      <c r="L21" s="6" t="str">
        <f aca="false">IF(ABS(H21-F21)/17.4&lt;1,(H21-F21)/17.4,"")</f>
        <v/>
      </c>
      <c r="M21" s="6" t="str">
        <f aca="false">IF(ABS(J21)/1.58&lt;1,J21/1.58/1.58,"")</f>
        <v/>
      </c>
      <c r="N21" s="6" t="str">
        <f aca="false">IF(OR(L21="",M21=""),"",ABS(L21)+ABS(M21))</f>
        <v/>
      </c>
      <c r="O21" s="3" t="str">
        <f aca="false">IF(OR(L21="",M21=""),"","SE?")</f>
        <v/>
      </c>
    </row>
    <row r="22" customFormat="false" ht="17" hidden="false" customHeight="true" outlineLevel="0" collapsed="false">
      <c r="C22" s="2" t="n">
        <f aca="false">L__B!$C$22</f>
        <v>21</v>
      </c>
      <c r="D22" s="2" t="n">
        <f aca="false">L__B!$D$22</f>
        <v>1</v>
      </c>
      <c r="E22" s="102" t="n">
        <f aca="false">L__B!$E$22</f>
        <v>21</v>
      </c>
      <c r="F22" s="103" t="n">
        <f aca="false">calc!$AN$22</f>
        <v>300.348780764247</v>
      </c>
      <c r="G22" s="103" t="n">
        <f aca="false">IF(ABS(F22-F21)&lt;100,F22,"")</f>
        <v>300.348780764247</v>
      </c>
      <c r="H22" s="16" t="n">
        <f aca="false">calc!$X$22</f>
        <v>155.266754702329</v>
      </c>
      <c r="I22" s="104" t="n">
        <f aca="false">IF(ABS(H22-H21)&lt;100,H22,"")</f>
        <v>155.266754702329</v>
      </c>
      <c r="J22" s="6" t="n">
        <f aca="false">calc!$Z$22</f>
        <v>5.03557015809638</v>
      </c>
      <c r="K22" s="16" t="n">
        <f aca="false">10*J22</f>
        <v>50.3557015809638</v>
      </c>
      <c r="L22" s="6" t="str">
        <f aca="false">IF(ABS(H22-F22)/17.4&lt;1,(H22-F22)/17.4,"")</f>
        <v/>
      </c>
      <c r="M22" s="6" t="str">
        <f aca="false">IF(ABS(J22)/1.58&lt;1,J22/1.58/1.58,"")</f>
        <v/>
      </c>
      <c r="N22" s="6" t="str">
        <f aca="false">IF(OR(L22="",M22=""),"",ABS(L22)+ABS(M22))</f>
        <v/>
      </c>
      <c r="O22" s="3" t="str">
        <f aca="false">IF(OR(L22="",M22=""),"","SE?")</f>
        <v/>
      </c>
    </row>
    <row r="23" customFormat="false" ht="17" hidden="false" customHeight="true" outlineLevel="0" collapsed="false">
      <c r="C23" s="2" t="n">
        <f aca="false">L__B!$C$23</f>
        <v>22</v>
      </c>
      <c r="D23" s="2" t="n">
        <f aca="false">L__B!$D$23</f>
        <v>1</v>
      </c>
      <c r="E23" s="102" t="n">
        <f aca="false">L__B!$E$23</f>
        <v>22</v>
      </c>
      <c r="F23" s="103" t="n">
        <f aca="false">calc!$AN$23</f>
        <v>301.334428128012</v>
      </c>
      <c r="G23" s="103" t="n">
        <f aca="false">IF(ABS(F23-F22)&lt;100,F23,"")</f>
        <v>301.334428128012</v>
      </c>
      <c r="H23" s="16" t="n">
        <f aca="false">calc!$X$23</f>
        <v>168.063960275462</v>
      </c>
      <c r="I23" s="104" t="n">
        <f aca="false">IF(ABS(H23-H22)&lt;100,H23,"")</f>
        <v>168.063960275462</v>
      </c>
      <c r="J23" s="6" t="n">
        <f aca="false">calc!$Z$23</f>
        <v>4.80075589054025</v>
      </c>
      <c r="K23" s="16" t="n">
        <f aca="false">10*J23</f>
        <v>48.0075589054025</v>
      </c>
      <c r="L23" s="6" t="str">
        <f aca="false">IF(ABS(H23-F23)/17.4&lt;1,(H23-F23)/17.4,"")</f>
        <v/>
      </c>
      <c r="M23" s="6" t="str">
        <f aca="false">IF(ABS(J23)/1.58&lt;1,J23/1.58/1.58,"")</f>
        <v/>
      </c>
      <c r="N23" s="6" t="str">
        <f aca="false">IF(OR(L23="",M23=""),"",ABS(L23)+ABS(M23))</f>
        <v/>
      </c>
      <c r="O23" s="3" t="str">
        <f aca="false">IF(OR(L23="",M23=""),"","SE?")</f>
        <v/>
      </c>
    </row>
    <row r="24" customFormat="false" ht="17" hidden="false" customHeight="true" outlineLevel="0" collapsed="false">
      <c r="C24" s="2" t="n">
        <f aca="false">L__B!$C$24</f>
        <v>23</v>
      </c>
      <c r="D24" s="2" t="n">
        <f aca="false">L__B!$D$24</f>
        <v>1</v>
      </c>
      <c r="E24" s="102" t="n">
        <f aca="false">L__B!$E$24</f>
        <v>23</v>
      </c>
      <c r="F24" s="103" t="n">
        <f aca="false">calc!$AN$24</f>
        <v>302.320075491778</v>
      </c>
      <c r="G24" s="103" t="n">
        <f aca="false">IF(ABS(F24-F23)&lt;100,F24,"")</f>
        <v>302.320075491778</v>
      </c>
      <c r="H24" s="16" t="n">
        <f aca="false">calc!$X$24</f>
        <v>181.05372668993</v>
      </c>
      <c r="I24" s="104" t="n">
        <f aca="false">IF(ABS(H24-H23)&lt;100,H24,"")</f>
        <v>181.05372668993</v>
      </c>
      <c r="J24" s="6" t="n">
        <f aca="false">calc!$Z$24</f>
        <v>4.3167393892847</v>
      </c>
      <c r="K24" s="16" t="n">
        <f aca="false">10*J24</f>
        <v>43.167393892847</v>
      </c>
      <c r="L24" s="6" t="str">
        <f aca="false">IF(ABS(H24-F24)/17.4&lt;1,(H24-F24)/17.4,"")</f>
        <v/>
      </c>
      <c r="M24" s="6" t="str">
        <f aca="false">IF(ABS(J24)/1.58&lt;1,J24/1.58/1.58,"")</f>
        <v/>
      </c>
      <c r="N24" s="6" t="str">
        <f aca="false">IF(OR(L24="",M24=""),"",ABS(L24)+ABS(M24))</f>
        <v/>
      </c>
      <c r="O24" s="3" t="str">
        <f aca="false">IF(OR(L24="",M24=""),"","SE?")</f>
        <v/>
      </c>
    </row>
    <row r="25" customFormat="false" ht="17" hidden="false" customHeight="true" outlineLevel="0" collapsed="false">
      <c r="C25" s="2" t="n">
        <f aca="false">L__B!$C$25</f>
        <v>24</v>
      </c>
      <c r="D25" s="2" t="n">
        <f aca="false">L__B!$D$25</f>
        <v>1</v>
      </c>
      <c r="E25" s="102" t="n">
        <f aca="false">L__B!$E$25</f>
        <v>24</v>
      </c>
      <c r="F25" s="103" t="n">
        <f aca="false">calc!$AN$25</f>
        <v>303.305722855544</v>
      </c>
      <c r="G25" s="103" t="n">
        <f aca="false">IF(ABS(F25-F24)&lt;100,F25,"")</f>
        <v>303.305722855544</v>
      </c>
      <c r="H25" s="16" t="n">
        <f aca="false">calc!$X$25</f>
        <v>194.259352137844</v>
      </c>
      <c r="I25" s="104" t="n">
        <f aca="false">IF(ABS(H25-H24)&lt;100,H25,"")</f>
        <v>194.259352137844</v>
      </c>
      <c r="J25" s="6" t="n">
        <f aca="false">calc!$Z$25</f>
        <v>3.59560176738277</v>
      </c>
      <c r="K25" s="16" t="n">
        <f aca="false">10*J25</f>
        <v>35.9560176738277</v>
      </c>
      <c r="L25" s="6" t="str">
        <f aca="false">IF(ABS(H25-F25)/17.4&lt;1,(H25-F25)/17.4,"")</f>
        <v/>
      </c>
      <c r="M25" s="6" t="str">
        <f aca="false">IF(ABS(J25)/1.58&lt;1,J25/1.58/1.58,"")</f>
        <v/>
      </c>
      <c r="N25" s="6" t="str">
        <f aca="false">IF(OR(L25="",M25=""),"",ABS(L25)+ABS(M25))</f>
        <v/>
      </c>
      <c r="O25" s="3" t="str">
        <f aca="false">IF(OR(L25="",M25=""),"","SE?")</f>
        <v/>
      </c>
    </row>
    <row r="26" customFormat="false" ht="17" hidden="false" customHeight="true" outlineLevel="0" collapsed="false">
      <c r="C26" s="2" t="n">
        <f aca="false">L__B!$C$26</f>
        <v>25</v>
      </c>
      <c r="D26" s="2" t="n">
        <f aca="false">L__B!$D$26</f>
        <v>1</v>
      </c>
      <c r="E26" s="102" t="n">
        <f aca="false">L__B!$E$26</f>
        <v>25</v>
      </c>
      <c r="F26" s="103" t="n">
        <f aca="false">calc!$AN$26</f>
        <v>304.291370219311</v>
      </c>
      <c r="G26" s="103" t="n">
        <f aca="false">IF(ABS(F26-F25)&lt;100,F26,"")</f>
        <v>304.291370219311</v>
      </c>
      <c r="H26" s="16" t="n">
        <f aca="false">calc!$X$26</f>
        <v>207.712163594669</v>
      </c>
      <c r="I26" s="104" t="n">
        <f aca="false">IF(ABS(H26-H25)&lt;100,H26,"")</f>
        <v>207.712163594669</v>
      </c>
      <c r="J26" s="6" t="n">
        <f aca="false">calc!$Z$26</f>
        <v>2.66234207182277</v>
      </c>
      <c r="K26" s="16" t="n">
        <f aca="false">10*J26</f>
        <v>26.6234207182277</v>
      </c>
      <c r="L26" s="6" t="str">
        <f aca="false">IF(ABS(H26-F26)/17.4&lt;1,(H26-F26)/17.4,"")</f>
        <v/>
      </c>
      <c r="M26" s="6" t="str">
        <f aca="false">IF(ABS(J26)/1.58&lt;1,J26/1.58/1.58,"")</f>
        <v/>
      </c>
      <c r="N26" s="6" t="str">
        <f aca="false">IF(OR(L26="",M26=""),"",ABS(L26)+ABS(M26))</f>
        <v/>
      </c>
      <c r="O26" s="3" t="str">
        <f aca="false">IF(OR(L26="",M26=""),"","SE?")</f>
        <v/>
      </c>
    </row>
    <row r="27" customFormat="false" ht="17" hidden="false" customHeight="true" outlineLevel="0" collapsed="false">
      <c r="C27" s="2" t="n">
        <f aca="false">L__B!$C$27</f>
        <v>26</v>
      </c>
      <c r="D27" s="2" t="n">
        <f aca="false">L__B!$D$27</f>
        <v>1</v>
      </c>
      <c r="E27" s="102" t="n">
        <f aca="false">L__B!$E$27</f>
        <v>26</v>
      </c>
      <c r="F27" s="103" t="n">
        <f aca="false">calc!$AN$27</f>
        <v>305.277017583079</v>
      </c>
      <c r="G27" s="103" t="n">
        <f aca="false">IF(ABS(F27-F26)&lt;100,F27,"")</f>
        <v>305.277017583079</v>
      </c>
      <c r="H27" s="16" t="n">
        <f aca="false">calc!$X$27</f>
        <v>221.444109410007</v>
      </c>
      <c r="I27" s="104" t="n">
        <f aca="false">IF(ABS(H27-H26)&lt;100,H27,"")</f>
        <v>221.444109410007</v>
      </c>
      <c r="J27" s="6" t="n">
        <f aca="false">calc!$Z$27</f>
        <v>1.5564300417324</v>
      </c>
      <c r="K27" s="16" t="n">
        <f aca="false">10*J27</f>
        <v>15.564300417324</v>
      </c>
      <c r="L27" s="6" t="str">
        <f aca="false">IF(ABS(H27-F27)/17.4&lt;1,(H27-F27)/17.4,"")</f>
        <v/>
      </c>
      <c r="M27" s="6" t="n">
        <f aca="false">IF(ABS(J27)/1.58&lt;1,J27/1.58/1.58,"")</f>
        <v>0.623469813224003</v>
      </c>
      <c r="N27" s="6" t="str">
        <f aca="false">IF(OR(L27="",M27=""),"",ABS(L27)+ABS(M27))</f>
        <v/>
      </c>
      <c r="O27" s="3" t="str">
        <f aca="false">IF(OR(L27="",M27=""),"","SE?")</f>
        <v/>
      </c>
    </row>
    <row r="28" customFormat="false" ht="17" hidden="false" customHeight="true" outlineLevel="0" collapsed="false">
      <c r="C28" s="2" t="n">
        <f aca="false">L__B!$C$28</f>
        <v>27</v>
      </c>
      <c r="D28" s="2" t="n">
        <f aca="false">L__B!$D$28</f>
        <v>1</v>
      </c>
      <c r="E28" s="102" t="n">
        <f aca="false">L__B!$E$28</f>
        <v>27</v>
      </c>
      <c r="F28" s="103" t="n">
        <f aca="false">calc!$AN$28</f>
        <v>306.262664946848</v>
      </c>
      <c r="G28" s="103" t="n">
        <f aca="false">IF(ABS(F28-F27)&lt;100,F28,"")</f>
        <v>306.262664946848</v>
      </c>
      <c r="H28" s="16" t="n">
        <f aca="false">calc!$X$28</f>
        <v>235.476173848099</v>
      </c>
      <c r="I28" s="104" t="n">
        <f aca="false">IF(ABS(H28-H27)&lt;100,H28,"")</f>
        <v>235.476173848099</v>
      </c>
      <c r="J28" s="6" t="n">
        <f aca="false">calc!$Z$28</f>
        <v>0.33345898129333</v>
      </c>
      <c r="K28" s="16" t="n">
        <f aca="false">10*J28</f>
        <v>3.3345898129333</v>
      </c>
      <c r="L28" s="6" t="str">
        <f aca="false">IF(ABS(H28-F28)/17.4&lt;1,(H28-F28)/17.4,"")</f>
        <v/>
      </c>
      <c r="M28" s="6" t="n">
        <f aca="false">IF(ABS(J28)/1.58&lt;1,J28/1.58/1.58,"")</f>
        <v>0.13357594187363</v>
      </c>
      <c r="N28" s="6" t="str">
        <f aca="false">IF(OR(L28="",M28=""),"",ABS(L28)+ABS(M28))</f>
        <v/>
      </c>
      <c r="O28" s="3" t="str">
        <f aca="false">IF(OR(L28="",M28=""),"","SE?")</f>
        <v/>
      </c>
    </row>
    <row r="29" customFormat="false" ht="17" hidden="false" customHeight="true" outlineLevel="0" collapsed="false">
      <c r="C29" s="2" t="n">
        <f aca="false">L__B!$C$29</f>
        <v>28</v>
      </c>
      <c r="D29" s="2" t="n">
        <f aca="false">L__B!$D$29</f>
        <v>1</v>
      </c>
      <c r="E29" s="102" t="n">
        <f aca="false">L__B!$E$29</f>
        <v>28</v>
      </c>
      <c r="F29" s="103" t="n">
        <f aca="false">calc!$AN$29</f>
        <v>307.248312310616</v>
      </c>
      <c r="G29" s="103" t="n">
        <f aca="false">IF(ABS(F29-F28)&lt;100,F29,"")</f>
        <v>307.248312310616</v>
      </c>
      <c r="H29" s="16" t="n">
        <f aca="false">calc!$X$29</f>
        <v>249.80548831365</v>
      </c>
      <c r="I29" s="104" t="n">
        <f aca="false">IF(ABS(H29-H28)&lt;100,H29,"")</f>
        <v>249.80548831365</v>
      </c>
      <c r="J29" s="6" t="n">
        <f aca="false">calc!$Z$29</f>
        <v>-0.934486738205402</v>
      </c>
      <c r="K29" s="16" t="n">
        <f aca="false">10*J29</f>
        <v>-9.34486738205402</v>
      </c>
      <c r="L29" s="6" t="str">
        <f aca="false">IF(ABS(H29-F29)/17.4&lt;1,(H29-F29)/17.4,"")</f>
        <v/>
      </c>
      <c r="M29" s="6" t="n">
        <f aca="false">IF(ABS(J29)/1.58&lt;1,J29/1.58/1.58,"")</f>
        <v>-0.374333735861802</v>
      </c>
      <c r="N29" s="6" t="str">
        <f aca="false">IF(OR(L29="",M29=""),"",ABS(L29)+ABS(M29))</f>
        <v/>
      </c>
      <c r="O29" s="3" t="str">
        <f aca="false">IF(OR(L29="",M29=""),"","SE?")</f>
        <v/>
      </c>
    </row>
    <row r="30" customFormat="false" ht="17" hidden="false" customHeight="true" outlineLevel="0" collapsed="false">
      <c r="C30" s="2" t="n">
        <f aca="false">L__B!$C$30</f>
        <v>29</v>
      </c>
      <c r="D30" s="2" t="n">
        <f aca="false">L__B!$D$30</f>
        <v>1</v>
      </c>
      <c r="E30" s="102" t="n">
        <f aca="false">L__B!$E$30</f>
        <v>29</v>
      </c>
      <c r="F30" s="103" t="n">
        <f aca="false">calc!$AN$30</f>
        <v>308.233959674384</v>
      </c>
      <c r="G30" s="103" t="n">
        <f aca="false">IF(ABS(F30-F29)&lt;100,F30,"")</f>
        <v>308.233959674384</v>
      </c>
      <c r="H30" s="16" t="n">
        <f aca="false">calc!$X$30</f>
        <v>264.394974340055</v>
      </c>
      <c r="I30" s="104" t="n">
        <f aca="false">IF(ABS(H30-H29)&lt;100,H30,"")</f>
        <v>264.394974340055</v>
      </c>
      <c r="J30" s="6" t="n">
        <f aca="false">calc!$Z$30</f>
        <v>-2.161761717905</v>
      </c>
      <c r="K30" s="16" t="n">
        <f aca="false">10*J30</f>
        <v>-21.61761717905</v>
      </c>
      <c r="L30" s="6" t="str">
        <f aca="false">IF(ABS(H30-F30)/17.4&lt;1,(H30-F30)/17.4,"")</f>
        <v/>
      </c>
      <c r="M30" s="6" t="str">
        <f aca="false">IF(ABS(J30)/1.58&lt;1,J30/1.58/1.58,"")</f>
        <v/>
      </c>
      <c r="N30" s="6" t="str">
        <f aca="false">IF(OR(L30="",M30=""),"",ABS(L30)+ABS(M30))</f>
        <v/>
      </c>
      <c r="O30" s="3" t="str">
        <f aca="false">IF(OR(L30="",M30=""),"","SE?")</f>
        <v/>
      </c>
    </row>
    <row r="31" customFormat="false" ht="17" hidden="false" customHeight="true" outlineLevel="0" collapsed="false">
      <c r="C31" s="2" t="n">
        <f aca="false">L__B!$C$31</f>
        <v>30</v>
      </c>
      <c r="D31" s="2" t="n">
        <f aca="false">L__B!$D$31</f>
        <v>1</v>
      </c>
      <c r="E31" s="102" t="n">
        <f aca="false">L__B!$E$31</f>
        <v>30</v>
      </c>
      <c r="F31" s="103" t="n">
        <f aca="false">calc!$AN$31</f>
        <v>309.219607038156</v>
      </c>
      <c r="G31" s="103" t="n">
        <f aca="false">IF(ABS(F31-F30)&lt;100,F31,"")</f>
        <v>309.219607038156</v>
      </c>
      <c r="H31" s="16" t="n">
        <f aca="false">calc!$X$31</f>
        <v>279.16912183491</v>
      </c>
      <c r="I31" s="104" t="n">
        <f aca="false">IF(ABS(H31-H30)&lt;100,H31,"")</f>
        <v>279.16912183491</v>
      </c>
      <c r="J31" s="6" t="n">
        <f aca="false">calc!$Z$31</f>
        <v>-3.25687455614138</v>
      </c>
      <c r="K31" s="16" t="n">
        <f aca="false">10*J31</f>
        <v>-32.5687455614138</v>
      </c>
      <c r="L31" s="6" t="str">
        <f aca="false">IF(ABS(H31-F31)/17.4&lt;1,(H31-F31)/17.4,"")</f>
        <v/>
      </c>
      <c r="M31" s="6" t="str">
        <f aca="false">IF(ABS(J31)/1.58&lt;1,J31/1.58/1.58,"")</f>
        <v/>
      </c>
      <c r="N31" s="6" t="str">
        <f aca="false">IF(OR(L31="",M31=""),"",ABS(L31)+ABS(M31))</f>
        <v/>
      </c>
      <c r="O31" s="3" t="str">
        <f aca="false">IF(OR(L31="",M31=""),"","SE?")</f>
        <v/>
      </c>
    </row>
    <row r="32" customFormat="false" ht="17" hidden="false" customHeight="true" outlineLevel="0" collapsed="false">
      <c r="C32" s="2" t="n">
        <f aca="false">L__B!$C$32</f>
        <v>31</v>
      </c>
      <c r="D32" s="2" t="n">
        <f aca="false">L__B!$D$32</f>
        <v>1</v>
      </c>
      <c r="E32" s="102" t="n">
        <f aca="false">L__B!$E$32</f>
        <v>31</v>
      </c>
      <c r="F32" s="103" t="n">
        <f aca="false">calc!$AN$32</f>
        <v>310.205254401926</v>
      </c>
      <c r="G32" s="103" t="n">
        <f aca="false">IF(ABS(F32-F31)&lt;100,F32,"")</f>
        <v>310.205254401926</v>
      </c>
      <c r="H32" s="16" t="n">
        <f aca="false">calc!$X$32</f>
        <v>294.018052514724</v>
      </c>
      <c r="I32" s="104" t="n">
        <f aca="false">IF(ABS(H32-H31)&lt;100,H32,"")</f>
        <v>294.018052514724</v>
      </c>
      <c r="J32" s="6" t="n">
        <f aca="false">calc!$Z$32</f>
        <v>-4.13454625863876</v>
      </c>
      <c r="K32" s="16" t="n">
        <f aca="false">10*J32</f>
        <v>-41.3454625863876</v>
      </c>
      <c r="L32" s="6" t="n">
        <f aca="false">IF(ABS(H32-F32)/17.4&lt;1,(H32-F32)/17.4,"")</f>
        <v>-0.93029895903459</v>
      </c>
      <c r="M32" s="6" t="str">
        <f aca="false">IF(ABS(J32)/1.58&lt;1,J32/1.58/1.58,"")</f>
        <v/>
      </c>
      <c r="N32" s="6" t="str">
        <f aca="false">IF(OR(L32="",M32=""),"",ABS(L32)+ABS(M32))</f>
        <v/>
      </c>
      <c r="O32" s="3" t="str">
        <f aca="false">IF(OR(L32="",M32=""),"","SE?")</f>
        <v/>
      </c>
    </row>
    <row r="33" customFormat="false" ht="17" hidden="false" customHeight="true" outlineLevel="0" collapsed="false">
      <c r="C33" s="2" t="n">
        <f aca="false">L__B!$C$33</f>
        <v>1</v>
      </c>
      <c r="D33" s="2" t="n">
        <f aca="false">L__B!$D$33</f>
        <v>2</v>
      </c>
      <c r="E33" s="102" t="n">
        <f aca="false">L__B!$E$33</f>
        <v>32</v>
      </c>
      <c r="F33" s="103" t="n">
        <f aca="false">calc!$AN$33</f>
        <v>311.190901765694</v>
      </c>
      <c r="G33" s="103" t="n">
        <f aca="false">IF(ABS(F33-F32)&lt;100,F33,"")</f>
        <v>311.190901765694</v>
      </c>
      <c r="H33" s="16" t="n">
        <f aca="false">calc!$X$33</f>
        <v>308.809761739947</v>
      </c>
      <c r="I33" s="104" t="n">
        <f aca="false">IF(ABS(H33-H32)&lt;100,H33,"")</f>
        <v>308.809761739947</v>
      </c>
      <c r="J33" s="6" t="n">
        <f aca="false">calc!$Z$33</f>
        <v>-4.72912656041569</v>
      </c>
      <c r="K33" s="16" t="n">
        <f aca="false">10*J33</f>
        <v>-47.2912656041569</v>
      </c>
      <c r="L33" s="6" t="n">
        <f aca="false">IF(ABS(H33-F33)/17.4&lt;1,(H33-F33)/17.4,"")</f>
        <v>-0.136847127916508</v>
      </c>
      <c r="M33" s="6" t="str">
        <f aca="false">IF(ABS(J33)/1.58&lt;1,J33/1.58/1.58,"")</f>
        <v/>
      </c>
      <c r="N33" s="6" t="str">
        <f aca="false">IF(OR(L33="",M33=""),"",ABS(L33)+ABS(M33))</f>
        <v/>
      </c>
      <c r="O33" s="3" t="str">
        <f aca="false">IF(OR(L33="",M33=""),"","SE?")</f>
        <v/>
      </c>
    </row>
    <row r="34" customFormat="false" ht="17" hidden="false" customHeight="true" outlineLevel="0" collapsed="false">
      <c r="C34" s="2" t="n">
        <f aca="false">L__B!$C$34</f>
        <v>2</v>
      </c>
      <c r="D34" s="2" t="n">
        <f aca="false">L__B!$D$34</f>
        <v>2</v>
      </c>
      <c r="E34" s="102" t="n">
        <f aca="false">L__B!$E$34</f>
        <v>33</v>
      </c>
      <c r="F34" s="103" t="n">
        <f aca="false">calc!$AN$34</f>
        <v>312.176549129466</v>
      </c>
      <c r="G34" s="103" t="n">
        <f aca="false">IF(ABS(F34-F33)&lt;100,F34,"")</f>
        <v>312.176549129466</v>
      </c>
      <c r="H34" s="16" t="n">
        <f aca="false">calc!$X$34</f>
        <v>323.408099850302</v>
      </c>
      <c r="I34" s="104" t="n">
        <f aca="false">IF(ABS(H34-H33)&lt;100,H34,"")</f>
        <v>323.408099850302</v>
      </c>
      <c r="J34" s="6" t="n">
        <f aca="false">calc!$Z$34</f>
        <v>-5.00485627785131</v>
      </c>
      <c r="K34" s="16" t="n">
        <f aca="false">10*J34</f>
        <v>-50.0485627785131</v>
      </c>
      <c r="L34" s="6" t="n">
        <f aca="false">IF(ABS(H34-F34)/17.4&lt;1,(H34-F34)/17.4,"")</f>
        <v>0.64549142073765</v>
      </c>
      <c r="M34" s="6" t="str">
        <f aca="false">IF(ABS(J34)/1.58&lt;1,J34/1.58/1.58,"")</f>
        <v/>
      </c>
      <c r="N34" s="6" t="str">
        <f aca="false">IF(OR(L34="",M34=""),"",ABS(L34)+ABS(M34))</f>
        <v/>
      </c>
      <c r="O34" s="3" t="str">
        <f aca="false">IF(OR(L34="",M34=""),"","SE?")</f>
        <v/>
      </c>
    </row>
    <row r="35" customFormat="false" ht="17" hidden="false" customHeight="true" outlineLevel="0" collapsed="false">
      <c r="C35" s="2" t="n">
        <f aca="false">L__B!$C$35</f>
        <v>3</v>
      </c>
      <c r="D35" s="2" t="n">
        <f aca="false">L__B!$D$35</f>
        <v>2</v>
      </c>
      <c r="E35" s="102" t="n">
        <f aca="false">L__B!$E$35</f>
        <v>34</v>
      </c>
      <c r="F35" s="103" t="n">
        <f aca="false">calc!$AN$35</f>
        <v>313.162196493237</v>
      </c>
      <c r="G35" s="103" t="n">
        <f aca="false">IF(ABS(F35-F34)&lt;100,F35,"")</f>
        <v>313.162196493237</v>
      </c>
      <c r="H35" s="16" t="n">
        <f aca="false">calc!$X$35</f>
        <v>337.692420169375</v>
      </c>
      <c r="I35" s="104" t="n">
        <f aca="false">IF(ABS(H35-H34)&lt;100,H35,"")</f>
        <v>337.692420169375</v>
      </c>
      <c r="J35" s="6" t="n">
        <f aca="false">calc!$Z$35</f>
        <v>-4.95927455359909</v>
      </c>
      <c r="K35" s="16" t="n">
        <f aca="false">10*J35</f>
        <v>-49.5927455359909</v>
      </c>
      <c r="L35" s="6" t="str">
        <f aca="false">IF(ABS(H35-F35)/17.4&lt;1,(H35-F35)/17.4,"")</f>
        <v/>
      </c>
      <c r="M35" s="6" t="str">
        <f aca="false">IF(ABS(J35)/1.58&lt;1,J35/1.58/1.58,"")</f>
        <v/>
      </c>
      <c r="N35" s="6" t="str">
        <f aca="false">IF(OR(L35="",M35=""),"",ABS(L35)+ABS(M35))</f>
        <v/>
      </c>
      <c r="O35" s="3" t="str">
        <f aca="false">IF(OR(L35="",M35=""),"","SE?")</f>
        <v/>
      </c>
    </row>
    <row r="36" customFormat="false" ht="17" hidden="false" customHeight="true" outlineLevel="0" collapsed="false">
      <c r="C36" s="2" t="n">
        <f aca="false">L__B!$C$36</f>
        <v>4</v>
      </c>
      <c r="D36" s="2" t="n">
        <f aca="false">L__B!$D$36</f>
        <v>2</v>
      </c>
      <c r="E36" s="102" t="n">
        <f aca="false">L__B!$E$36</f>
        <v>35</v>
      </c>
      <c r="F36" s="103" t="n">
        <f aca="false">calc!$AN$36</f>
        <v>314.14784385701</v>
      </c>
      <c r="G36" s="103" t="n">
        <f aca="false">IF(ABS(F36-F35)&lt;100,F36,"")</f>
        <v>314.14784385701</v>
      </c>
      <c r="H36" s="16" t="n">
        <f aca="false">calc!$X$36</f>
        <v>351.574419848896</v>
      </c>
      <c r="I36" s="104" t="n">
        <f aca="false">IF(ABS(H36-H35)&lt;100,H36,"")</f>
        <v>351.574419848896</v>
      </c>
      <c r="J36" s="6" t="n">
        <f aca="false">calc!$Z$36</f>
        <v>-4.61897862891004</v>
      </c>
      <c r="K36" s="16" t="n">
        <f aca="false">10*J36</f>
        <v>-46.1897862891004</v>
      </c>
      <c r="L36" s="6" t="str">
        <f aca="false">IF(ABS(H36-F36)/17.4&lt;1,(H36-F36)/17.4,"")</f>
        <v/>
      </c>
      <c r="M36" s="6" t="str">
        <f aca="false">IF(ABS(J36)/1.58&lt;1,J36/1.58/1.58,"")</f>
        <v/>
      </c>
      <c r="N36" s="6" t="str">
        <f aca="false">IF(OR(L36="",M36=""),"",ABS(L36)+ABS(M36))</f>
        <v/>
      </c>
      <c r="O36" s="3" t="str">
        <f aca="false">IF(OR(L36="",M36=""),"","SE?")</f>
        <v/>
      </c>
    </row>
    <row r="37" customFormat="false" ht="17" hidden="false" customHeight="true" outlineLevel="0" collapsed="false">
      <c r="C37" s="2" t="n">
        <f aca="false">L__B!$C$37</f>
        <v>5</v>
      </c>
      <c r="D37" s="2" t="n">
        <f aca="false">L__B!$D$37</f>
        <v>2</v>
      </c>
      <c r="E37" s="102" t="n">
        <f aca="false">L__B!$E$37</f>
        <v>36</v>
      </c>
      <c r="F37" s="103" t="n">
        <f aca="false">calc!$AN$37</f>
        <v>315.13349122078</v>
      </c>
      <c r="G37" s="103" t="n">
        <f aca="false">IF(ABS(F37-F36)&lt;100,F37,"")</f>
        <v>315.13349122078</v>
      </c>
      <c r="H37" s="16" t="n">
        <f aca="false">calc!$X$37</f>
        <v>5.00863248137547</v>
      </c>
      <c r="I37" s="104" t="str">
        <f aca="false">IF(ABS(H37-H36)&lt;100,H37,"")</f>
        <v/>
      </c>
      <c r="J37" s="6" t="n">
        <f aca="false">calc!$Z$37</f>
        <v>-4.03015705481555</v>
      </c>
      <c r="K37" s="16" t="n">
        <f aca="false">10*J37</f>
        <v>-40.3015705481555</v>
      </c>
      <c r="L37" s="6" t="str">
        <f aca="false">IF(ABS(H37-F37)/17.4&lt;1,(H37-F37)/17.4,"")</f>
        <v/>
      </c>
      <c r="M37" s="6" t="str">
        <f aca="false">IF(ABS(J37)/1.58&lt;1,J37/1.58/1.58,"")</f>
        <v/>
      </c>
      <c r="N37" s="6" t="str">
        <f aca="false">IF(OR(L37="",M37=""),"",ABS(L37)+ABS(M37))</f>
        <v/>
      </c>
      <c r="O37" s="3" t="str">
        <f aca="false">IF(OR(L37="",M37=""),"","SE?")</f>
        <v/>
      </c>
    </row>
    <row r="38" customFormat="false" ht="17" hidden="false" customHeight="true" outlineLevel="0" collapsed="false">
      <c r="C38" s="2" t="n">
        <f aca="false">L__B!$C$38</f>
        <v>6</v>
      </c>
      <c r="D38" s="2" t="n">
        <f aca="false">L__B!$D$38</f>
        <v>2</v>
      </c>
      <c r="E38" s="102" t="n">
        <f aca="false">L__B!$E$38</f>
        <v>37</v>
      </c>
      <c r="F38" s="103" t="n">
        <f aca="false">calc!$AN$38</f>
        <v>316.119138584554</v>
      </c>
      <c r="G38" s="103" t="n">
        <f aca="false">IF(ABS(F38-F37)&lt;100,F38,"")</f>
        <v>316.119138584554</v>
      </c>
      <c r="H38" s="16" t="n">
        <f aca="false">calc!$X$38</f>
        <v>17.9949351008727</v>
      </c>
      <c r="I38" s="104" t="n">
        <f aca="false">IF(ABS(H38-H37)&lt;100,H38,"")</f>
        <v>17.9949351008727</v>
      </c>
      <c r="J38" s="6" t="n">
        <f aca="false">calc!$Z$38</f>
        <v>-3.24791965360097</v>
      </c>
      <c r="K38" s="16" t="n">
        <f aca="false">10*J38</f>
        <v>-32.4791965360097</v>
      </c>
      <c r="L38" s="6" t="str">
        <f aca="false">IF(ABS(H38-F38)/17.4&lt;1,(H38-F38)/17.4,"")</f>
        <v/>
      </c>
      <c r="M38" s="6" t="str">
        <f aca="false">IF(ABS(J38)/1.58&lt;1,J38/1.58/1.58,"")</f>
        <v/>
      </c>
      <c r="N38" s="6" t="str">
        <f aca="false">IF(OR(L38="",M38=""),"",ABS(L38)+ABS(M38))</f>
        <v/>
      </c>
      <c r="O38" s="3" t="str">
        <f aca="false">IF(OR(L38="",M38=""),"","SE?")</f>
        <v/>
      </c>
    </row>
    <row r="39" customFormat="false" ht="17" hidden="false" customHeight="true" outlineLevel="0" collapsed="false">
      <c r="C39" s="2" t="n">
        <f aca="false">L__B!$C$39</f>
        <v>7</v>
      </c>
      <c r="D39" s="2" t="n">
        <f aca="false">L__B!$D$39</f>
        <v>2</v>
      </c>
      <c r="E39" s="102" t="n">
        <f aca="false">L__B!$E$39</f>
        <v>38</v>
      </c>
      <c r="F39" s="103" t="n">
        <f aca="false">calc!$AN$39</f>
        <v>317.104785948326</v>
      </c>
      <c r="G39" s="103" t="n">
        <f aca="false">IF(ABS(F39-F38)&lt;100,F39,"")</f>
        <v>317.104785948326</v>
      </c>
      <c r="H39" s="16" t="n">
        <f aca="false">calc!$X$39</f>
        <v>30.5736262035725</v>
      </c>
      <c r="I39" s="104" t="n">
        <f aca="false">IF(ABS(H39-H38)&lt;100,H39,"")</f>
        <v>30.5736262035725</v>
      </c>
      <c r="J39" s="6" t="n">
        <f aca="false">calc!$Z$39</f>
        <v>-2.32785736293207</v>
      </c>
      <c r="K39" s="16" t="n">
        <f aca="false">10*J39</f>
        <v>-23.2785736293207</v>
      </c>
      <c r="L39" s="6" t="str">
        <f aca="false">IF(ABS(H39-F39)/17.4&lt;1,(H39-F39)/17.4,"")</f>
        <v/>
      </c>
      <c r="M39" s="6" t="str">
        <f aca="false">IF(ABS(J39)/1.58&lt;1,J39/1.58/1.58,"")</f>
        <v/>
      </c>
      <c r="N39" s="6" t="str">
        <f aca="false">IF(OR(L39="",M39=""),"",ABS(L39)+ABS(M39))</f>
        <v/>
      </c>
      <c r="O39" s="3" t="str">
        <f aca="false">IF(OR(L39="",M39=""),"","SE?")</f>
        <v/>
      </c>
    </row>
    <row r="40" customFormat="false" ht="17" hidden="false" customHeight="true" outlineLevel="0" collapsed="false">
      <c r="C40" s="2" t="n">
        <f aca="false">L__B!$C$40</f>
        <v>8</v>
      </c>
      <c r="D40" s="2" t="n">
        <f aca="false">L__B!$D$40</f>
        <v>2</v>
      </c>
      <c r="E40" s="102" t="n">
        <f aca="false">L__B!$E$40</f>
        <v>39</v>
      </c>
      <c r="F40" s="103" t="n">
        <f aca="false">calc!$AN$40</f>
        <v>318.0904333121</v>
      </c>
      <c r="G40" s="103" t="n">
        <f aca="false">IF(ABS(F40-F39)&lt;100,F40,"")</f>
        <v>318.0904333121</v>
      </c>
      <c r="H40" s="16" t="n">
        <f aca="false">calc!$X$40</f>
        <v>42.8153794595465</v>
      </c>
      <c r="I40" s="104" t="n">
        <f aca="false">IF(ABS(H40-H39)&lt;100,H40,"")</f>
        <v>42.8153794595465</v>
      </c>
      <c r="J40" s="6" t="n">
        <f aca="false">calc!$Z$40</f>
        <v>-1.32136714111679</v>
      </c>
      <c r="K40" s="16" t="n">
        <f aca="false">10*J40</f>
        <v>-13.2136714111679</v>
      </c>
      <c r="L40" s="6" t="str">
        <f aca="false">IF(ABS(H40-F40)/17.4&lt;1,(H40-F40)/17.4,"")</f>
        <v/>
      </c>
      <c r="M40" s="6" t="n">
        <f aca="false">IF(ABS(J40)/1.58&lt;1,J40/1.58/1.58,"")</f>
        <v>-0.52930906149527</v>
      </c>
      <c r="N40" s="6" t="str">
        <f aca="false">IF(OR(L40="",M40=""),"",ABS(L40)+ABS(M40))</f>
        <v/>
      </c>
      <c r="O40" s="3" t="str">
        <f aca="false">IF(OR(L40="",M40=""),"","SE?")</f>
        <v/>
      </c>
    </row>
    <row r="41" customFormat="false" ht="17" hidden="false" customHeight="true" outlineLevel="0" collapsed="false">
      <c r="C41" s="2" t="n">
        <f aca="false">L__B!$C$41</f>
        <v>9</v>
      </c>
      <c r="D41" s="2" t="n">
        <f aca="false">L__B!$D$41</f>
        <v>2</v>
      </c>
      <c r="E41" s="102" t="n">
        <f aca="false">L__B!$E$41</f>
        <v>40</v>
      </c>
      <c r="F41" s="103" t="n">
        <f aca="false">calc!$AN$41</f>
        <v>319.076080675874</v>
      </c>
      <c r="G41" s="103" t="n">
        <f aca="false">IF(ABS(F41-F40)&lt;100,F41,"")</f>
        <v>319.076080675874</v>
      </c>
      <c r="H41" s="16" t="n">
        <f aca="false">calc!$X$41</f>
        <v>54.8091617412626</v>
      </c>
      <c r="I41" s="104" t="n">
        <f aca="false">IF(ABS(H41-H40)&lt;100,H41,"")</f>
        <v>54.8091617412626</v>
      </c>
      <c r="J41" s="6" t="n">
        <f aca="false">calc!$Z$41</f>
        <v>-0.274418649905076</v>
      </c>
      <c r="K41" s="16" t="n">
        <f aca="false">10*J41</f>
        <v>-2.74418649905076</v>
      </c>
      <c r="L41" s="6" t="str">
        <f aca="false">IF(ABS(H41-F41)/17.4&lt;1,(H41-F41)/17.4,"")</f>
        <v/>
      </c>
      <c r="M41" s="6" t="n">
        <f aca="false">IF(ABS(J41)/1.58&lt;1,J41/1.58/1.58,"")</f>
        <v>-0.109925753046417</v>
      </c>
      <c r="N41" s="6" t="str">
        <f aca="false">IF(OR(L41="",M41=""),"",ABS(L41)+ABS(M41))</f>
        <v/>
      </c>
      <c r="O41" s="3" t="str">
        <f aca="false">IF(OR(L41="",M41=""),"","SE?")</f>
        <v/>
      </c>
    </row>
    <row r="42" customFormat="false" ht="17" hidden="false" customHeight="true" outlineLevel="0" collapsed="false">
      <c r="C42" s="2" t="n">
        <f aca="false">L__B!$C$42</f>
        <v>10</v>
      </c>
      <c r="D42" s="2" t="n">
        <f aca="false">L__B!$D$42</f>
        <v>2</v>
      </c>
      <c r="E42" s="102" t="n">
        <f aca="false">L__B!$E$42</f>
        <v>41</v>
      </c>
      <c r="F42" s="103" t="n">
        <f aca="false">calc!$AN$42</f>
        <v>320.061728039647</v>
      </c>
      <c r="G42" s="103" t="n">
        <f aca="false">IF(ABS(F42-F41)&lt;100,F42,"")</f>
        <v>320.061728039647</v>
      </c>
      <c r="H42" s="16" t="n">
        <f aca="false">calc!$X$42</f>
        <v>66.6509022176712</v>
      </c>
      <c r="I42" s="104" t="n">
        <f aca="false">IF(ABS(H42-H41)&lt;100,H42,"")</f>
        <v>66.6509022176712</v>
      </c>
      <c r="J42" s="6" t="n">
        <f aca="false">calc!$Z$42</f>
        <v>0.771551437736062</v>
      </c>
      <c r="K42" s="16" t="n">
        <f aca="false">10*J42</f>
        <v>7.71551437736062</v>
      </c>
      <c r="L42" s="6" t="str">
        <f aca="false">IF(ABS(H42-F42)/17.4&lt;1,(H42-F42)/17.4,"")</f>
        <v/>
      </c>
      <c r="M42" s="6" t="n">
        <f aca="false">IF(ABS(J42)/1.58&lt;1,J42/1.58/1.58,"")</f>
        <v>0.30906562960105</v>
      </c>
      <c r="N42" s="6" t="str">
        <f aca="false">IF(OR(L42="",M42=""),"",ABS(L42)+ABS(M42))</f>
        <v/>
      </c>
      <c r="O42" s="3" t="str">
        <f aca="false">IF(OR(L42="",M42=""),"","SE?")</f>
        <v/>
      </c>
    </row>
    <row r="43" customFormat="false" ht="17" hidden="false" customHeight="true" outlineLevel="0" collapsed="false">
      <c r="C43" s="2" t="n">
        <f aca="false">L__B!$C$43</f>
        <v>11</v>
      </c>
      <c r="D43" s="2" t="n">
        <f aca="false">L__B!$D$43</f>
        <v>2</v>
      </c>
      <c r="E43" s="102" t="n">
        <f aca="false">L__B!$E$43</f>
        <v>42</v>
      </c>
      <c r="F43" s="103" t="n">
        <f aca="false">calc!$AN$43</f>
        <v>321.047375403421</v>
      </c>
      <c r="G43" s="103" t="n">
        <f aca="false">IF(ABS(F43-F42)&lt;100,F43,"")</f>
        <v>321.047375403421</v>
      </c>
      <c r="H43" s="16" t="n">
        <f aca="false">calc!$X$43</f>
        <v>78.434601745859</v>
      </c>
      <c r="I43" s="104" t="n">
        <f aca="false">IF(ABS(H43-H42)&lt;100,H43,"")</f>
        <v>78.434601745859</v>
      </c>
      <c r="J43" s="6" t="n">
        <f aca="false">calc!$Z$43</f>
        <v>1.77799924483774</v>
      </c>
      <c r="K43" s="16" t="n">
        <f aca="false">10*J43</f>
        <v>17.7799924483774</v>
      </c>
      <c r="L43" s="6" t="str">
        <f aca="false">IF(ABS(H43-F43)/17.4&lt;1,(H43-F43)/17.4,"")</f>
        <v/>
      </c>
      <c r="M43" s="6" t="str">
        <f aca="false">IF(ABS(J43)/1.58&lt;1,J43/1.58/1.58,"")</f>
        <v/>
      </c>
      <c r="N43" s="6" t="str">
        <f aca="false">IF(OR(L43="",M43=""),"",ABS(L43)+ABS(M43))</f>
        <v/>
      </c>
      <c r="O43" s="3" t="str">
        <f aca="false">IF(OR(L43="",M43=""),"","SE?")</f>
        <v/>
      </c>
    </row>
    <row r="44" customFormat="false" ht="17" hidden="false" customHeight="true" outlineLevel="0" collapsed="false">
      <c r="C44" s="2" t="n">
        <f aca="false">L__B!$C$44</f>
        <v>12</v>
      </c>
      <c r="D44" s="2" t="n">
        <f aca="false">L__B!$D$44</f>
        <v>2</v>
      </c>
      <c r="E44" s="102" t="n">
        <f aca="false">L__B!$E$44</f>
        <v>43</v>
      </c>
      <c r="F44" s="103" t="n">
        <f aca="false">calc!$AN$44</f>
        <v>322.033022767197</v>
      </c>
      <c r="G44" s="103" t="n">
        <f aca="false">IF(ABS(F44-F43)&lt;100,F44,"")</f>
        <v>322.033022767197</v>
      </c>
      <c r="H44" s="16" t="n">
        <f aca="false">calc!$X$44</f>
        <v>90.2462335014366</v>
      </c>
      <c r="I44" s="104" t="n">
        <f aca="false">IF(ABS(H44-H43)&lt;100,H44,"")</f>
        <v>90.2462335014366</v>
      </c>
      <c r="J44" s="6" t="n">
        <f aca="false">calc!$Z$44</f>
        <v>2.70782214166723</v>
      </c>
      <c r="K44" s="16" t="n">
        <f aca="false">10*J44</f>
        <v>27.0782214166723</v>
      </c>
      <c r="L44" s="6" t="str">
        <f aca="false">IF(ABS(H44-F44)/17.4&lt;1,(H44-F44)/17.4,"")</f>
        <v/>
      </c>
      <c r="M44" s="6" t="str">
        <f aca="false">IF(ABS(J44)/1.58&lt;1,J44/1.58/1.58,"")</f>
        <v/>
      </c>
      <c r="N44" s="6" t="str">
        <f aca="false">IF(OR(L44="",M44=""),"",ABS(L44)+ABS(M44))</f>
        <v/>
      </c>
      <c r="O44" s="3" t="str">
        <f aca="false">IF(OR(L44="",M44=""),"","SE?")</f>
        <v/>
      </c>
    </row>
    <row r="45" customFormat="false" ht="17" hidden="false" customHeight="true" outlineLevel="0" collapsed="false">
      <c r="C45" s="2" t="n">
        <f aca="false">L__B!$C$45</f>
        <v>13</v>
      </c>
      <c r="D45" s="2" t="n">
        <f aca="false">L__B!$D$45</f>
        <v>2</v>
      </c>
      <c r="E45" s="102" t="n">
        <f aca="false">L__B!$E$45</f>
        <v>44</v>
      </c>
      <c r="F45" s="103" t="n">
        <f aca="false">calc!$AN$45</f>
        <v>323.018670130972</v>
      </c>
      <c r="G45" s="103" t="n">
        <f aca="false">IF(ABS(F45-F44)&lt;100,F45,"")</f>
        <v>323.018670130972</v>
      </c>
      <c r="H45" s="16" t="n">
        <f aca="false">calc!$X$45</f>
        <v>102.15978172886</v>
      </c>
      <c r="I45" s="104" t="n">
        <f aca="false">IF(ABS(H45-H44)&lt;100,H45,"")</f>
        <v>102.15978172886</v>
      </c>
      <c r="J45" s="6" t="n">
        <f aca="false">calc!$Z$45</f>
        <v>3.52453427934085</v>
      </c>
      <c r="K45" s="16" t="n">
        <f aca="false">10*J45</f>
        <v>35.2453427934085</v>
      </c>
      <c r="L45" s="6" t="str">
        <f aca="false">IF(ABS(H45-F45)/17.4&lt;1,(H45-F45)/17.4,"")</f>
        <v/>
      </c>
      <c r="M45" s="6" t="str">
        <f aca="false">IF(ABS(J45)/1.58&lt;1,J45/1.58/1.58,"")</f>
        <v/>
      </c>
      <c r="N45" s="6" t="str">
        <f aca="false">IF(OR(L45="",M45=""),"",ABS(L45)+ABS(M45))</f>
        <v/>
      </c>
      <c r="O45" s="3" t="str">
        <f aca="false">IF(OR(L45="",M45=""),"","SE?")</f>
        <v/>
      </c>
    </row>
    <row r="46" customFormat="false" ht="17" hidden="false" customHeight="true" outlineLevel="0" collapsed="false">
      <c r="C46" s="2" t="n">
        <f aca="false">L__B!$C$46</f>
        <v>14</v>
      </c>
      <c r="D46" s="2" t="n">
        <f aca="false">L__B!$D$46</f>
        <v>2</v>
      </c>
      <c r="E46" s="102" t="n">
        <f aca="false">L__B!$E$46</f>
        <v>45</v>
      </c>
      <c r="F46" s="103" t="n">
        <f aca="false">calc!$AN$46</f>
        <v>324.00431749475</v>
      </c>
      <c r="G46" s="103" t="n">
        <f aca="false">IF(ABS(F46-F45)&lt;100,F46,"")</f>
        <v>324.00431749475</v>
      </c>
      <c r="H46" s="16" t="n">
        <f aca="false">calc!$X$46</f>
        <v>114.234452377191</v>
      </c>
      <c r="I46" s="104" t="n">
        <f aca="false">IF(ABS(H46-H45)&lt;100,H46,"")</f>
        <v>114.234452377191</v>
      </c>
      <c r="J46" s="6" t="n">
        <f aca="false">calc!$Z$46</f>
        <v>4.192234981245</v>
      </c>
      <c r="K46" s="16" t="n">
        <f aca="false">10*J46</f>
        <v>41.92234981245</v>
      </c>
      <c r="L46" s="6" t="str">
        <f aca="false">IF(ABS(H46-F46)/17.4&lt;1,(H46-F46)/17.4,"")</f>
        <v/>
      </c>
      <c r="M46" s="6" t="str">
        <f aca="false">IF(ABS(J46)/1.58&lt;1,J46/1.58/1.58,"")</f>
        <v/>
      </c>
      <c r="N46" s="6" t="str">
        <f aca="false">IF(OR(L46="",M46=""),"",ABS(L46)+ABS(M46))</f>
        <v/>
      </c>
      <c r="O46" s="3" t="str">
        <f aca="false">IF(OR(L46="",M46=""),"","SE?")</f>
        <v/>
      </c>
    </row>
    <row r="47" customFormat="false" ht="17" hidden="false" customHeight="true" outlineLevel="0" collapsed="false">
      <c r="C47" s="2" t="n">
        <f aca="false">L__B!$C$47</f>
        <v>15</v>
      </c>
      <c r="D47" s="2" t="n">
        <f aca="false">L__B!$D$47</f>
        <v>2</v>
      </c>
      <c r="E47" s="102" t="n">
        <f aca="false">L__B!$E$47</f>
        <v>46</v>
      </c>
      <c r="F47" s="103" t="n">
        <f aca="false">calc!$AN$47</f>
        <v>324.989964858525</v>
      </c>
      <c r="G47" s="103" t="n">
        <f aca="false">IF(ABS(F47-F46)&lt;100,F47,"")</f>
        <v>324.989964858525</v>
      </c>
      <c r="H47" s="16" t="n">
        <f aca="false">calc!$X$47</f>
        <v>126.512471552213</v>
      </c>
      <c r="I47" s="104" t="n">
        <f aca="false">IF(ABS(H47-H46)&lt;100,H47,"")</f>
        <v>126.512471552213</v>
      </c>
      <c r="J47" s="6" t="n">
        <f aca="false">calc!$Z$47</f>
        <v>4.6764961342727</v>
      </c>
      <c r="K47" s="16" t="n">
        <f aca="false">10*J47</f>
        <v>46.764961342727</v>
      </c>
      <c r="L47" s="6" t="str">
        <f aca="false">IF(ABS(H47-F47)/17.4&lt;1,(H47-F47)/17.4,"")</f>
        <v/>
      </c>
      <c r="M47" s="6" t="str">
        <f aca="false">IF(ABS(J47)/1.58&lt;1,J47/1.58/1.58,"")</f>
        <v/>
      </c>
      <c r="N47" s="6" t="str">
        <f aca="false">IF(OR(L47="",M47=""),"",ABS(L47)+ABS(M47))</f>
        <v/>
      </c>
      <c r="O47" s="3" t="str">
        <f aca="false">IF(OR(L47="",M47=""),"","SE?")</f>
        <v/>
      </c>
    </row>
    <row r="48" customFormat="false" ht="17" hidden="false" customHeight="true" outlineLevel="0" collapsed="false">
      <c r="C48" s="2" t="n">
        <f aca="false">L__B!$C$48</f>
        <v>16</v>
      </c>
      <c r="D48" s="2" t="n">
        <f aca="false">L__B!$D$48</f>
        <v>2</v>
      </c>
      <c r="E48" s="102" t="n">
        <f aca="false">L__B!$E$48</f>
        <v>47</v>
      </c>
      <c r="F48" s="103" t="n">
        <f aca="false">calc!$AN$48</f>
        <v>325.975612222304</v>
      </c>
      <c r="G48" s="103" t="n">
        <f aca="false">IF(ABS(F48-F47)&lt;100,F48,"")</f>
        <v>325.975612222304</v>
      </c>
      <c r="H48" s="16" t="n">
        <f aca="false">calc!$X$48</f>
        <v>139.017639913669</v>
      </c>
      <c r="I48" s="104" t="n">
        <f aca="false">IF(ABS(H48-H47)&lt;100,H48,"")</f>
        <v>139.017639913669</v>
      </c>
      <c r="J48" s="6" t="n">
        <f aca="false">calc!$Z$48</f>
        <v>4.94630578221456</v>
      </c>
      <c r="K48" s="16" t="n">
        <f aca="false">10*J48</f>
        <v>49.4630578221456</v>
      </c>
      <c r="L48" s="6" t="str">
        <f aca="false">IF(ABS(H48-F48)/17.4&lt;1,(H48-F48)/17.4,"")</f>
        <v/>
      </c>
      <c r="M48" s="6" t="str">
        <f aca="false">IF(ABS(J48)/1.58&lt;1,J48/1.58/1.58,"")</f>
        <v/>
      </c>
      <c r="N48" s="6" t="str">
        <f aca="false">IF(OR(L48="",M48=""),"",ABS(L48)+ABS(M48))</f>
        <v/>
      </c>
      <c r="O48" s="3" t="str">
        <f aca="false">IF(OR(L48="",M48=""),"","SE?")</f>
        <v/>
      </c>
    </row>
    <row r="49" customFormat="false" ht="17" hidden="false" customHeight="true" outlineLevel="0" collapsed="false">
      <c r="C49" s="2" t="n">
        <f aca="false">L__B!$C$49</f>
        <v>17</v>
      </c>
      <c r="D49" s="2" t="n">
        <f aca="false">L__B!$D$49</f>
        <v>2</v>
      </c>
      <c r="E49" s="102" t="n">
        <f aca="false">L__B!$E$49</f>
        <v>48</v>
      </c>
      <c r="F49" s="103" t="n">
        <f aca="false">calc!$AN$49</f>
        <v>326.96125958608</v>
      </c>
      <c r="G49" s="103" t="n">
        <f aca="false">IF(ABS(F49-F48)&lt;100,F49,"")</f>
        <v>326.96125958608</v>
      </c>
      <c r="H49" s="16" t="n">
        <f aca="false">calc!$X$49</f>
        <v>151.755444130063</v>
      </c>
      <c r="I49" s="104" t="n">
        <f aca="false">IF(ABS(H49-H48)&lt;100,H49,"")</f>
        <v>151.755444130063</v>
      </c>
      <c r="J49" s="6" t="n">
        <f aca="false">calc!$Z$49</f>
        <v>4.97705482402466</v>
      </c>
      <c r="K49" s="16" t="n">
        <f aca="false">10*J49</f>
        <v>49.7705482402466</v>
      </c>
      <c r="L49" s="6" t="str">
        <f aca="false">IF(ABS(H49-F49)/17.4&lt;1,(H49-F49)/17.4,"")</f>
        <v/>
      </c>
      <c r="M49" s="6" t="str">
        <f aca="false">IF(ABS(J49)/1.58&lt;1,J49/1.58/1.58,"")</f>
        <v/>
      </c>
      <c r="N49" s="6" t="str">
        <f aca="false">IF(OR(L49="",M49=""),"",ABS(L49)+ABS(M49))</f>
        <v/>
      </c>
      <c r="O49" s="3" t="str">
        <f aca="false">IF(OR(L49="",M49=""),"","SE?")</f>
        <v/>
      </c>
    </row>
    <row r="50" customFormat="false" ht="17" hidden="false" customHeight="true" outlineLevel="0" collapsed="false">
      <c r="C50" s="2" t="n">
        <f aca="false">L__B!$C$50</f>
        <v>18</v>
      </c>
      <c r="D50" s="2" t="n">
        <f aca="false">L__B!$D$50</f>
        <v>2</v>
      </c>
      <c r="E50" s="102" t="n">
        <f aca="false">L__B!$E$50</f>
        <v>49</v>
      </c>
      <c r="F50" s="103" t="n">
        <f aca="false">calc!$AN$50</f>
        <v>327.946906949859</v>
      </c>
      <c r="G50" s="103" t="n">
        <f aca="false">IF(ABS(F50-F49)&lt;100,F50,"")</f>
        <v>327.946906949859</v>
      </c>
      <c r="H50" s="16" t="n">
        <f aca="false">calc!$X$50</f>
        <v>164.715621206931</v>
      </c>
      <c r="I50" s="104" t="n">
        <f aca="false">IF(ABS(H50-H49)&lt;100,H50,"")</f>
        <v>164.715621206931</v>
      </c>
      <c r="J50" s="6" t="n">
        <f aca="false">calc!$Z$50</f>
        <v>4.75417828442065</v>
      </c>
      <c r="K50" s="16" t="n">
        <f aca="false">10*J50</f>
        <v>47.5417828442065</v>
      </c>
      <c r="L50" s="6" t="str">
        <f aca="false">IF(ABS(H50-F50)/17.4&lt;1,(H50-F50)/17.4,"")</f>
        <v/>
      </c>
      <c r="M50" s="6" t="str">
        <f aca="false">IF(ABS(J50)/1.58&lt;1,J50/1.58/1.58,"")</f>
        <v/>
      </c>
      <c r="N50" s="6" t="str">
        <f aca="false">IF(OR(L50="",M50=""),"",ABS(L50)+ABS(M50))</f>
        <v/>
      </c>
      <c r="O50" s="3" t="str">
        <f aca="false">IF(OR(L50="",M50=""),"","SE?")</f>
        <v/>
      </c>
    </row>
    <row r="51" customFormat="false" ht="17" hidden="false" customHeight="true" outlineLevel="0" collapsed="false">
      <c r="C51" s="2" t="n">
        <f aca="false">L__B!$C$51</f>
        <v>19</v>
      </c>
      <c r="D51" s="2" t="n">
        <f aca="false">L__B!$D$51</f>
        <v>2</v>
      </c>
      <c r="E51" s="102" t="n">
        <f aca="false">L__B!$E$51</f>
        <v>50</v>
      </c>
      <c r="F51" s="103" t="n">
        <f aca="false">calc!$AN$51</f>
        <v>328.932554313638</v>
      </c>
      <c r="G51" s="103" t="n">
        <f aca="false">IF(ABS(F51-F50)&lt;100,F51,"")</f>
        <v>328.932554313638</v>
      </c>
      <c r="H51" s="16" t="n">
        <f aca="false">calc!$X$51</f>
        <v>177.877479382487</v>
      </c>
      <c r="I51" s="104" t="n">
        <f aca="false">IF(ABS(H51-H50)&lt;100,H51,"")</f>
        <v>177.877479382487</v>
      </c>
      <c r="J51" s="6" t="n">
        <f aca="false">calc!$Z$51</f>
        <v>4.27663392658032</v>
      </c>
      <c r="K51" s="16" t="n">
        <f aca="false">10*J51</f>
        <v>42.7663392658032</v>
      </c>
      <c r="L51" s="6" t="str">
        <f aca="false">IF(ABS(H51-F51)/17.4&lt;1,(H51-F51)/17.4,"")</f>
        <v/>
      </c>
      <c r="M51" s="6" t="str">
        <f aca="false">IF(ABS(J51)/1.58&lt;1,J51/1.58/1.58,"")</f>
        <v/>
      </c>
      <c r="N51" s="6" t="str">
        <f aca="false">IF(OR(L51="",M51=""),"",ABS(L51)+ABS(M51))</f>
        <v/>
      </c>
      <c r="O51" s="3" t="str">
        <f aca="false">IF(OR(L51="",M51=""),"","SE?")</f>
        <v/>
      </c>
    </row>
    <row r="52" customFormat="false" ht="17" hidden="false" customHeight="true" outlineLevel="0" collapsed="false">
      <c r="C52" s="2" t="n">
        <f aca="false">L__B!$C$52</f>
        <v>20</v>
      </c>
      <c r="D52" s="2" t="n">
        <f aca="false">L__B!$D$52</f>
        <v>2</v>
      </c>
      <c r="E52" s="102" t="n">
        <f aca="false">L__B!$E$52</f>
        <v>51</v>
      </c>
      <c r="F52" s="103" t="n">
        <f aca="false">calc!$AN$52</f>
        <v>329.918201677416</v>
      </c>
      <c r="G52" s="103" t="n">
        <f aca="false">IF(ABS(F52-F51)&lt;100,F52,"")</f>
        <v>329.918201677416</v>
      </c>
      <c r="H52" s="16" t="n">
        <f aca="false">calc!$X$52</f>
        <v>191.217201339017</v>
      </c>
      <c r="I52" s="104" t="n">
        <f aca="false">IF(ABS(H52-H51)&lt;100,H52,"")</f>
        <v>191.217201339017</v>
      </c>
      <c r="J52" s="6" t="n">
        <f aca="false">calc!$Z$52</f>
        <v>3.55923650513807</v>
      </c>
      <c r="K52" s="16" t="n">
        <f aca="false">10*J52</f>
        <v>35.5923650513807</v>
      </c>
      <c r="L52" s="6" t="str">
        <f aca="false">IF(ABS(H52-F52)/17.4&lt;1,(H52-F52)/17.4,"")</f>
        <v/>
      </c>
      <c r="M52" s="6" t="str">
        <f aca="false">IF(ABS(J52)/1.58&lt;1,J52/1.58/1.58,"")</f>
        <v/>
      </c>
      <c r="N52" s="6" t="str">
        <f aca="false">IF(OR(L52="",M52=""),"",ABS(L52)+ABS(M52))</f>
        <v/>
      </c>
      <c r="O52" s="3" t="str">
        <f aca="false">IF(OR(L52="",M52=""),"","SE?")</f>
        <v/>
      </c>
    </row>
    <row r="53" customFormat="false" ht="17" hidden="false" customHeight="true" outlineLevel="0" collapsed="false">
      <c r="C53" s="2" t="n">
        <f aca="false">L__B!$C$53</f>
        <v>21</v>
      </c>
      <c r="D53" s="2" t="n">
        <f aca="false">L__B!$D$53</f>
        <v>2</v>
      </c>
      <c r="E53" s="102" t="n">
        <f aca="false">L__B!$E$53</f>
        <v>52</v>
      </c>
      <c r="F53" s="103" t="n">
        <f aca="false">calc!$AN$53</f>
        <v>330.903849041195</v>
      </c>
      <c r="G53" s="103" t="n">
        <f aca="false">IF(ABS(F53-F52)&lt;100,F53,"")</f>
        <v>330.903849041195</v>
      </c>
      <c r="H53" s="16" t="n">
        <f aca="false">calc!$X$53</f>
        <v>204.715264398025</v>
      </c>
      <c r="I53" s="104" t="n">
        <f aca="false">IF(ABS(H53-H52)&lt;100,H53,"")</f>
        <v>204.715264398025</v>
      </c>
      <c r="J53" s="6" t="n">
        <f aca="false">calc!$Z$53</f>
        <v>2.6331808837861</v>
      </c>
      <c r="K53" s="16" t="n">
        <f aca="false">10*J53</f>
        <v>26.331808837861</v>
      </c>
      <c r="L53" s="6" t="str">
        <f aca="false">IF(ABS(H53-F53)/17.4&lt;1,(H53-F53)/17.4,"")</f>
        <v/>
      </c>
      <c r="M53" s="6" t="str">
        <f aca="false">IF(ABS(J53)/1.58&lt;1,J53/1.58/1.58,"")</f>
        <v/>
      </c>
      <c r="N53" s="6" t="str">
        <f aca="false">IF(OR(L53="",M53=""),"",ABS(L53)+ABS(M53))</f>
        <v/>
      </c>
      <c r="O53" s="3" t="str">
        <f aca="false">IF(OR(L53="",M53=""),"","SE?")</f>
        <v/>
      </c>
    </row>
    <row r="54" customFormat="false" ht="17" hidden="false" customHeight="true" outlineLevel="0" collapsed="false">
      <c r="C54" s="2" t="n">
        <f aca="false">L__B!$C$54</f>
        <v>22</v>
      </c>
      <c r="D54" s="2" t="n">
        <f aca="false">L__B!$D$54</f>
        <v>2</v>
      </c>
      <c r="E54" s="102" t="n">
        <f aca="false">L__B!$E$54</f>
        <v>53</v>
      </c>
      <c r="F54" s="103" t="n">
        <f aca="false">calc!$AN$54</f>
        <v>331.889496404974</v>
      </c>
      <c r="G54" s="103" t="n">
        <f aca="false">IF(ABS(F54-F53)&lt;100,F54,"")</f>
        <v>331.889496404974</v>
      </c>
      <c r="H54" s="16" t="n">
        <f aca="false">calc!$X$54</f>
        <v>218.361549363475</v>
      </c>
      <c r="I54" s="104" t="n">
        <f aca="false">IF(ABS(H54-H53)&lt;100,H54,"")</f>
        <v>218.361549363475</v>
      </c>
      <c r="J54" s="6" t="n">
        <f aca="false">calc!$Z$54</f>
        <v>1.54476320997531</v>
      </c>
      <c r="K54" s="16" t="n">
        <f aca="false">10*J54</f>
        <v>15.4476320997531</v>
      </c>
      <c r="L54" s="6" t="str">
        <f aca="false">IF(ABS(H54-F54)/17.4&lt;1,(H54-F54)/17.4,"")</f>
        <v/>
      </c>
      <c r="M54" s="6" t="n">
        <f aca="false">IF(ABS(J54)/1.58&lt;1,J54/1.58/1.58,"")</f>
        <v>0.618796350735182</v>
      </c>
      <c r="N54" s="6" t="str">
        <f aca="false">IF(OR(L54="",M54=""),"",ABS(L54)+ABS(M54))</f>
        <v/>
      </c>
      <c r="O54" s="3" t="str">
        <f aca="false">IF(OR(L54="",M54=""),"","SE?")</f>
        <v/>
      </c>
    </row>
    <row r="55" customFormat="false" ht="17" hidden="false" customHeight="true" outlineLevel="0" collapsed="false">
      <c r="C55" s="2" t="n">
        <f aca="false">L__B!$C$55</f>
        <v>23</v>
      </c>
      <c r="D55" s="2" t="n">
        <f aca="false">L__B!$D$55</f>
        <v>2</v>
      </c>
      <c r="E55" s="102" t="n">
        <f aca="false">L__B!$E$55</f>
        <v>54</v>
      </c>
      <c r="F55" s="103" t="n">
        <f aca="false">calc!$AN$55</f>
        <v>332.875143768757</v>
      </c>
      <c r="G55" s="103" t="n">
        <f aca="false">IF(ABS(F55-F54)&lt;100,F55,"")</f>
        <v>332.875143768757</v>
      </c>
      <c r="H55" s="16" t="n">
        <f aca="false">calc!$X$55</f>
        <v>232.156041615356</v>
      </c>
      <c r="I55" s="104" t="n">
        <f aca="false">IF(ABS(H55-H54)&lt;100,H55,"")</f>
        <v>232.156041615356</v>
      </c>
      <c r="J55" s="6" t="n">
        <f aca="false">calc!$Z$55</f>
        <v>0.352908355151548</v>
      </c>
      <c r="K55" s="16" t="n">
        <f aca="false">10*J55</f>
        <v>3.52908355151548</v>
      </c>
      <c r="L55" s="6" t="str">
        <f aca="false">IF(ABS(H55-F55)/17.4&lt;1,(H55-F55)/17.4,"")</f>
        <v/>
      </c>
      <c r="M55" s="6" t="n">
        <f aca="false">IF(ABS(J55)/1.58&lt;1,J55/1.58/1.58,"")</f>
        <v>0.141366910411612</v>
      </c>
      <c r="N55" s="6" t="str">
        <f aca="false">IF(OR(L55="",M55=""),"",ABS(L55)+ABS(M55))</f>
        <v/>
      </c>
      <c r="O55" s="3" t="str">
        <f aca="false">IF(OR(L55="",M55=""),"","SE?")</f>
        <v/>
      </c>
    </row>
    <row r="56" customFormat="false" ht="17" hidden="false" customHeight="true" outlineLevel="0" collapsed="false">
      <c r="C56" s="2" t="n">
        <f aca="false">L__B!$C$56</f>
        <v>24</v>
      </c>
      <c r="D56" s="2" t="n">
        <f aca="false">L__B!$D$56</f>
        <v>2</v>
      </c>
      <c r="E56" s="102" t="n">
        <f aca="false">L__B!$E$56</f>
        <v>55</v>
      </c>
      <c r="F56" s="103" t="n">
        <f aca="false">calc!$AN$56</f>
        <v>333.860791132536</v>
      </c>
      <c r="G56" s="103" t="n">
        <f aca="false">IF(ABS(F56-F55)&lt;100,F56,"")</f>
        <v>333.860791132536</v>
      </c>
      <c r="H56" s="16" t="n">
        <f aca="false">calc!$X$56</f>
        <v>246.104268979316</v>
      </c>
      <c r="I56" s="104" t="n">
        <f aca="false">IF(ABS(H56-H55)&lt;100,H56,"")</f>
        <v>246.104268979316</v>
      </c>
      <c r="J56" s="6" t="n">
        <f aca="false">calc!$Z$56</f>
        <v>-0.873811967910827</v>
      </c>
      <c r="K56" s="16" t="n">
        <f aca="false">10*J56</f>
        <v>-8.73811967910827</v>
      </c>
      <c r="L56" s="6" t="str">
        <f aca="false">IF(ABS(H56-F56)/17.4&lt;1,(H56-F56)/17.4,"")</f>
        <v/>
      </c>
      <c r="M56" s="6" t="n">
        <f aca="false">IF(ABS(J56)/1.58&lt;1,J56/1.58/1.58,"")</f>
        <v>-0.350028828677627</v>
      </c>
      <c r="N56" s="6" t="str">
        <f aca="false">IF(OR(L56="",M56=""),"",ABS(L56)+ABS(M56))</f>
        <v/>
      </c>
      <c r="O56" s="3" t="str">
        <f aca="false">IF(OR(L56="",M56=""),"","SE?")</f>
        <v/>
      </c>
    </row>
    <row r="57" customFormat="false" ht="17" hidden="false" customHeight="true" outlineLevel="0" collapsed="false">
      <c r="C57" s="2" t="n">
        <f aca="false">L__B!$C$57</f>
        <v>25</v>
      </c>
      <c r="D57" s="2" t="n">
        <f aca="false">L__B!$D$57</f>
        <v>2</v>
      </c>
      <c r="E57" s="102" t="n">
        <f aca="false">L__B!$E$57</f>
        <v>56</v>
      </c>
      <c r="F57" s="103" t="n">
        <f aca="false">calc!$AN$57</f>
        <v>334.846438496319</v>
      </c>
      <c r="G57" s="103" t="n">
        <f aca="false">IF(ABS(F57-F56)&lt;100,F57,"")</f>
        <v>334.846438496319</v>
      </c>
      <c r="H57" s="16" t="n">
        <f aca="false">calc!$X$57</f>
        <v>260.20839672392</v>
      </c>
      <c r="I57" s="104" t="n">
        <f aca="false">IF(ABS(H57-H56)&lt;100,H57,"")</f>
        <v>260.20839672392</v>
      </c>
      <c r="J57" s="6" t="n">
        <f aca="false">calc!$Z$57</f>
        <v>-2.06050754971766</v>
      </c>
      <c r="K57" s="16" t="n">
        <f aca="false">10*J57</f>
        <v>-20.6050754971766</v>
      </c>
      <c r="L57" s="6" t="str">
        <f aca="false">IF(ABS(H57-F57)/17.4&lt;1,(H57-F57)/17.4,"")</f>
        <v/>
      </c>
      <c r="M57" s="6" t="str">
        <f aca="false">IF(ABS(J57)/1.58&lt;1,J57/1.58/1.58,"")</f>
        <v/>
      </c>
      <c r="N57" s="6" t="str">
        <f aca="false">IF(OR(L57="",M57=""),"",ABS(L57)+ABS(M57))</f>
        <v/>
      </c>
      <c r="O57" s="3" t="str">
        <f aca="false">IF(OR(L57="",M57=""),"","SE?")</f>
        <v/>
      </c>
    </row>
    <row r="58" customFormat="false" ht="17" hidden="false" customHeight="true" outlineLevel="0" collapsed="false">
      <c r="C58" s="2" t="n">
        <f aca="false">L__B!$C$58</f>
        <v>26</v>
      </c>
      <c r="D58" s="2" t="n">
        <f aca="false">L__B!$D$58</f>
        <v>2</v>
      </c>
      <c r="E58" s="102" t="n">
        <f aca="false">L__B!$E$58</f>
        <v>57</v>
      </c>
      <c r="F58" s="103" t="n">
        <f aca="false">calc!$AN$58</f>
        <v>335.832085860098</v>
      </c>
      <c r="G58" s="103" t="n">
        <f aca="false">IF(ABS(F58-F57)&lt;100,F58,"")</f>
        <v>335.832085860098</v>
      </c>
      <c r="H58" s="16" t="n">
        <f aca="false">calc!$X$58</f>
        <v>274.456576490507</v>
      </c>
      <c r="I58" s="104" t="n">
        <f aca="false">IF(ABS(H58-H57)&lt;100,H58,"")</f>
        <v>274.456576490507</v>
      </c>
      <c r="J58" s="6" t="n">
        <f aca="false">calc!$Z$58</f>
        <v>-3.13018179338209</v>
      </c>
      <c r="K58" s="16" t="n">
        <f aca="false">10*J58</f>
        <v>-31.3018179338209</v>
      </c>
      <c r="L58" s="6" t="str">
        <f aca="false">IF(ABS(H58-F58)/17.4&lt;1,(H58-F58)/17.4,"")</f>
        <v/>
      </c>
      <c r="M58" s="6" t="str">
        <f aca="false">IF(ABS(J58)/1.58&lt;1,J58/1.58/1.58,"")</f>
        <v/>
      </c>
      <c r="N58" s="6" t="str">
        <f aca="false">IF(OR(L58="",M58=""),"",ABS(L58)+ABS(M58))</f>
        <v/>
      </c>
      <c r="O58" s="3" t="str">
        <f aca="false">IF(OR(L58="",M58=""),"","SE?")</f>
        <v/>
      </c>
    </row>
    <row r="59" customFormat="false" ht="17" hidden="false" customHeight="true" outlineLevel="0" collapsed="false">
      <c r="C59" s="2" t="n">
        <f aca="false">L__B!$C$59</f>
        <v>27</v>
      </c>
      <c r="D59" s="2" t="n">
        <f aca="false">L__B!$D$59</f>
        <v>2</v>
      </c>
      <c r="E59" s="102" t="n">
        <f aca="false">L__B!$E$59</f>
        <v>58</v>
      </c>
      <c r="F59" s="103" t="n">
        <f aca="false">calc!$AN$59</f>
        <v>336.817733223883</v>
      </c>
      <c r="G59" s="103" t="n">
        <f aca="false">IF(ABS(F59-F58)&lt;100,F59,"")</f>
        <v>336.817733223883</v>
      </c>
      <c r="H59" s="16" t="n">
        <f aca="false">calc!$X$59</f>
        <v>288.814071771756</v>
      </c>
      <c r="I59" s="104" t="n">
        <f aca="false">IF(ABS(H59-H58)&lt;100,H59,"")</f>
        <v>288.814071771756</v>
      </c>
      <c r="J59" s="6" t="n">
        <f aca="false">calc!$Z$59</f>
        <v>-4.00958584144821</v>
      </c>
      <c r="K59" s="16" t="n">
        <f aca="false">10*J59</f>
        <v>-40.0958584144821</v>
      </c>
      <c r="L59" s="6" t="str">
        <f aca="false">IF(ABS(H59-F59)/17.4&lt;1,(H59-F59)/17.4,"")</f>
        <v/>
      </c>
      <c r="M59" s="6" t="str">
        <f aca="false">IF(ABS(J59)/1.58&lt;1,J59/1.58/1.58,"")</f>
        <v/>
      </c>
      <c r="N59" s="6" t="str">
        <f aca="false">IF(OR(L59="",M59=""),"",ABS(L59)+ABS(M59))</f>
        <v/>
      </c>
      <c r="O59" s="3" t="str">
        <f aca="false">IF(OR(L59="",M59=""),"","SE?")</f>
        <v/>
      </c>
    </row>
    <row r="60" customFormat="false" ht="17" hidden="false" customHeight="true" outlineLevel="0" collapsed="false">
      <c r="C60" s="2" t="n">
        <f aca="false">L__B!$C$60</f>
        <v>28</v>
      </c>
      <c r="D60" s="2" t="n">
        <f aca="false">L__B!$D$60</f>
        <v>2</v>
      </c>
      <c r="E60" s="102" t="n">
        <f aca="false">L__B!$E$60</f>
        <v>59</v>
      </c>
      <c r="F60" s="103" t="n">
        <f aca="false">calc!$AN$60</f>
        <v>337.803380587666</v>
      </c>
      <c r="G60" s="103" t="n">
        <f aca="false">IF(ABS(F60-F59)&lt;100,F60,"")</f>
        <v>337.803380587666</v>
      </c>
      <c r="H60" s="16" t="n">
        <f aca="false">calc!$X$60</f>
        <v>303.21945088535</v>
      </c>
      <c r="I60" s="104" t="n">
        <f aca="false">IF(ABS(H60-H59)&lt;100,H60,"")</f>
        <v>303.21945088535</v>
      </c>
      <c r="J60" s="6" t="n">
        <f aca="false">calc!$Z$60</f>
        <v>-4.6367989689086</v>
      </c>
      <c r="K60" s="16" t="n">
        <f aca="false">10*J60</f>
        <v>-46.367989689086</v>
      </c>
      <c r="L60" s="6" t="str">
        <f aca="false">IF(ABS(H60-F60)/17.4&lt;1,(H60-F60)/17.4,"")</f>
        <v/>
      </c>
      <c r="M60" s="6" t="str">
        <f aca="false">IF(ABS(J60)/1.58&lt;1,J60/1.58/1.58,"")</f>
        <v/>
      </c>
      <c r="N60" s="6" t="str">
        <f aca="false">IF(OR(L60="",M60=""),"",ABS(L60)+ABS(M60))</f>
        <v/>
      </c>
      <c r="O60" s="3" t="str">
        <f aca="false">IF(OR(L60="",M60=""),"","SE?")</f>
        <v/>
      </c>
    </row>
    <row r="61" customFormat="false" ht="17" hidden="false" customHeight="true" outlineLevel="0" collapsed="false">
      <c r="C61" s="2" t="n">
        <f aca="false">L__B!$C$61</f>
        <v>1</v>
      </c>
      <c r="D61" s="2" t="n">
        <f aca="false">L__B!$D$61</f>
        <v>3</v>
      </c>
      <c r="E61" s="102" t="n">
        <f aca="false">L__B!$E$61</f>
        <v>60</v>
      </c>
      <c r="F61" s="103" t="n">
        <f aca="false">calc!$AN$61</f>
        <v>338.789027951449</v>
      </c>
      <c r="G61" s="103" t="n">
        <f aca="false">IF(ABS(F61-F60)&lt;100,F61,"")</f>
        <v>338.789027951449</v>
      </c>
      <c r="H61" s="16" t="n">
        <f aca="false">calc!$X$61</f>
        <v>317.587759721713</v>
      </c>
      <c r="I61" s="104" t="n">
        <f aca="false">IF(ABS(H61-H60)&lt;100,H61,"")</f>
        <v>317.587759721713</v>
      </c>
      <c r="J61" s="6" t="n">
        <f aca="false">calc!$Z$61</f>
        <v>-4.96927751428154</v>
      </c>
      <c r="K61" s="16" t="n">
        <f aca="false">10*J61</f>
        <v>-49.6927751428154</v>
      </c>
      <c r="L61" s="6" t="str">
        <f aca="false">IF(ABS(H61-F61)/17.4&lt;1,(H61-F61)/17.4,"")</f>
        <v/>
      </c>
      <c r="M61" s="6" t="str">
        <f aca="false">IF(ABS(J61)/1.58&lt;1,J61/1.58/1.58,"")</f>
        <v/>
      </c>
      <c r="N61" s="6" t="str">
        <f aca="false">IF(OR(L61="",M61=""),"",ABS(L61)+ABS(M61))</f>
        <v/>
      </c>
      <c r="O61" s="3" t="str">
        <f aca="false">IF(OR(L61="",M61=""),"","SE?")</f>
        <v/>
      </c>
    </row>
    <row r="62" customFormat="false" ht="17" hidden="false" customHeight="true" outlineLevel="0" collapsed="false">
      <c r="C62" s="2" t="n">
        <f aca="false">L__B!$C$62</f>
        <v>2</v>
      </c>
      <c r="D62" s="2" t="n">
        <f aca="false">L__B!$D$62</f>
        <v>3</v>
      </c>
      <c r="E62" s="102" t="n">
        <f aca="false">L__B!$E$62</f>
        <v>61</v>
      </c>
      <c r="F62" s="103" t="n">
        <f aca="false">calc!$AN$62</f>
        <v>339.77467531523</v>
      </c>
      <c r="G62" s="103" t="n">
        <f aca="false">IF(ABS(F62-F61)&lt;100,F62,"")</f>
        <v>339.77467531523</v>
      </c>
      <c r="H62" s="16" t="n">
        <f aca="false">calc!$X$62</f>
        <v>331.820500604341</v>
      </c>
      <c r="I62" s="104" t="n">
        <f aca="false">IF(ABS(H62-H61)&lt;100,H62,"")</f>
        <v>331.820500604341</v>
      </c>
      <c r="J62" s="6" t="n">
        <f aca="false">calc!$Z$62</f>
        <v>-4.98997406485398</v>
      </c>
      <c r="K62" s="16" t="n">
        <f aca="false">10*J62</f>
        <v>-49.8997406485398</v>
      </c>
      <c r="L62" s="6" t="n">
        <f aca="false">IF(ABS(H62-F62)/17.4&lt;1,(H62-F62)/17.4,"")</f>
        <v>-0.457136477637285</v>
      </c>
      <c r="M62" s="6" t="str">
        <f aca="false">IF(ABS(J62)/1.58&lt;1,J62/1.58/1.58,"")</f>
        <v/>
      </c>
      <c r="N62" s="6" t="str">
        <f aca="false">IF(OR(L62="",M62=""),"",ABS(L62)+ABS(M62))</f>
        <v/>
      </c>
      <c r="O62" s="3" t="str">
        <f aca="false">IF(OR(L62="",M62=""),"","SE?")</f>
        <v/>
      </c>
    </row>
    <row r="63" customFormat="false" ht="17" hidden="false" customHeight="true" outlineLevel="0" collapsed="false">
      <c r="C63" s="2" t="n">
        <f aca="false">L__B!$C$63</f>
        <v>3</v>
      </c>
      <c r="D63" s="2" t="n">
        <f aca="false">L__B!$D$63</f>
        <v>3</v>
      </c>
      <c r="E63" s="102" t="n">
        <f aca="false">L__B!$E$63</f>
        <v>62</v>
      </c>
      <c r="F63" s="103" t="n">
        <f aca="false">calc!$AN$63</f>
        <v>340.760322679014</v>
      </c>
      <c r="G63" s="103" t="n">
        <f aca="false">IF(ABS(F63-F62)&lt;100,F63,"")</f>
        <v>340.760322679014</v>
      </c>
      <c r="H63" s="16" t="n">
        <f aca="false">calc!$X$63</f>
        <v>345.820162132696</v>
      </c>
      <c r="I63" s="104" t="n">
        <f aca="false">IF(ABS(H63-H62)&lt;100,H63,"")</f>
        <v>345.820162132696</v>
      </c>
      <c r="J63" s="6" t="n">
        <f aca="false">calc!$Z$63</f>
        <v>-4.7091532528662</v>
      </c>
      <c r="K63" s="16" t="n">
        <f aca="false">10*J63</f>
        <v>-47.091532528662</v>
      </c>
      <c r="L63" s="6" t="n">
        <f aca="false">IF(ABS(H63-F63)/17.4&lt;1,(H63-F63)/17.4,"")</f>
        <v>0.290795370901232</v>
      </c>
      <c r="M63" s="6" t="str">
        <f aca="false">IF(ABS(J63)/1.58&lt;1,J63/1.58/1.58,"")</f>
        <v/>
      </c>
      <c r="N63" s="6" t="str">
        <f aca="false">IF(OR(L63="",M63=""),"",ABS(L63)+ABS(M63))</f>
        <v/>
      </c>
      <c r="O63" s="3" t="str">
        <f aca="false">IF(OR(L63="",M63=""),"","SE?")</f>
        <v/>
      </c>
    </row>
    <row r="64" customFormat="false" ht="17" hidden="false" customHeight="true" outlineLevel="0" collapsed="false">
      <c r="C64" s="2" t="n">
        <f aca="false">L__B!$C$64</f>
        <v>4</v>
      </c>
      <c r="D64" s="2" t="n">
        <f aca="false">L__B!$D$64</f>
        <v>3</v>
      </c>
      <c r="E64" s="102" t="n">
        <f aca="false">L__B!$E$64</f>
        <v>63</v>
      </c>
      <c r="F64" s="103" t="n">
        <f aca="false">calc!$AN$64</f>
        <v>341.745970042799</v>
      </c>
      <c r="G64" s="103" t="n">
        <f aca="false">IF(ABS(F64-F63)&lt;100,F64,"")</f>
        <v>341.745970042799</v>
      </c>
      <c r="H64" s="16" t="n">
        <f aca="false">calc!$X$64</f>
        <v>359.505685564859</v>
      </c>
      <c r="I64" s="104" t="n">
        <f aca="false">IF(ABS(H64-H63)&lt;100,H64,"")</f>
        <v>359.505685564859</v>
      </c>
      <c r="J64" s="6" t="n">
        <f aca="false">calc!$Z$64</f>
        <v>-4.16098300614882</v>
      </c>
      <c r="K64" s="16" t="n">
        <f aca="false">10*J64</f>
        <v>-41.6098300614882</v>
      </c>
      <c r="L64" s="6" t="str">
        <f aca="false">IF(ABS(H64-F64)/17.4&lt;1,(H64-F64)/17.4,"")</f>
        <v/>
      </c>
      <c r="M64" s="6" t="str">
        <f aca="false">IF(ABS(J64)/1.58&lt;1,J64/1.58/1.58,"")</f>
        <v/>
      </c>
      <c r="N64" s="6" t="str">
        <f aca="false">IF(OR(L64="",M64=""),"",ABS(L64)+ABS(M64))</f>
        <v/>
      </c>
      <c r="O64" s="3" t="str">
        <f aca="false">IF(OR(L64="",M64=""),"","SE?")</f>
        <v/>
      </c>
    </row>
    <row r="65" customFormat="false" ht="17" hidden="false" customHeight="true" outlineLevel="0" collapsed="false">
      <c r="C65" s="2" t="n">
        <f aca="false">L__B!$C$65</f>
        <v>5</v>
      </c>
      <c r="D65" s="2" t="n">
        <f aca="false">L__B!$D$65</f>
        <v>3</v>
      </c>
      <c r="E65" s="102" t="n">
        <f aca="false">L__B!$E$65</f>
        <v>64</v>
      </c>
      <c r="F65" s="103" t="n">
        <f aca="false">calc!$AN$65</f>
        <v>342.731617406584</v>
      </c>
      <c r="G65" s="103" t="n">
        <f aca="false">IF(ABS(F65-F64)&lt;100,F65,"")</f>
        <v>342.731617406584</v>
      </c>
      <c r="H65" s="16" t="n">
        <f aca="false">calc!$X$65</f>
        <v>12.8250694775143</v>
      </c>
      <c r="I65" s="104" t="str">
        <f aca="false">IF(ABS(H65-H64)&lt;100,H65,"")</f>
        <v/>
      </c>
      <c r="J65" s="6" t="n">
        <f aca="false">calc!$Z$65</f>
        <v>-3.39607994064013</v>
      </c>
      <c r="K65" s="16" t="n">
        <f aca="false">10*J65</f>
        <v>-33.9607994064013</v>
      </c>
      <c r="L65" s="6" t="str">
        <f aca="false">IF(ABS(H65-F65)/17.4&lt;1,(H65-F65)/17.4,"")</f>
        <v/>
      </c>
      <c r="M65" s="6" t="str">
        <f aca="false">IF(ABS(J65)/1.58&lt;1,J65/1.58/1.58,"")</f>
        <v/>
      </c>
      <c r="N65" s="6" t="str">
        <f aca="false">IF(OR(L65="",M65=""),"",ABS(L65)+ABS(M65))</f>
        <v/>
      </c>
      <c r="O65" s="3" t="str">
        <f aca="false">IF(OR(L65="",M65=""),"","SE?")</f>
        <v/>
      </c>
    </row>
    <row r="66" customFormat="false" ht="17" hidden="false" customHeight="true" outlineLevel="0" collapsed="false">
      <c r="C66" s="2" t="n">
        <f aca="false">L__B!$C$66</f>
        <v>6</v>
      </c>
      <c r="D66" s="2" t="n">
        <f aca="false">L__B!$D$66</f>
        <v>3</v>
      </c>
      <c r="E66" s="102" t="n">
        <f aca="false">L__B!$E$66</f>
        <v>65</v>
      </c>
      <c r="F66" s="103" t="n">
        <f aca="false">calc!$AN$66</f>
        <v>343.717264770368</v>
      </c>
      <c r="G66" s="103" t="n">
        <f aca="false">IF(ABS(F66-F65)&lt;100,F66,"")</f>
        <v>343.717264770368</v>
      </c>
      <c r="H66" s="16" t="n">
        <f aca="false">calc!$X$66</f>
        <v>25.7623274265111</v>
      </c>
      <c r="I66" s="104" t="n">
        <f aca="false">IF(ABS(H66-H65)&lt;100,H66,"")</f>
        <v>25.7623274265111</v>
      </c>
      <c r="J66" s="6" t="n">
        <f aca="false">calc!$Z$66</f>
        <v>-2.47265742452658</v>
      </c>
      <c r="K66" s="16" t="n">
        <f aca="false">10*J66</f>
        <v>-24.7265742452658</v>
      </c>
      <c r="L66" s="6" t="str">
        <f aca="false">IF(ABS(H66-F66)/17.4&lt;1,(H66-F66)/17.4,"")</f>
        <v/>
      </c>
      <c r="M66" s="6" t="str">
        <f aca="false">IF(ABS(J66)/1.58&lt;1,J66/1.58/1.58,"")</f>
        <v/>
      </c>
      <c r="N66" s="6" t="str">
        <f aca="false">IF(OR(L66="",M66=""),"",ABS(L66)+ABS(M66))</f>
        <v/>
      </c>
      <c r="O66" s="3" t="str">
        <f aca="false">IF(OR(L66="",M66=""),"","SE?")</f>
        <v/>
      </c>
    </row>
    <row r="67" customFormat="false" ht="17" hidden="false" customHeight="true" outlineLevel="0" collapsed="false">
      <c r="C67" s="2" t="n">
        <f aca="false">L__B!$C$67</f>
        <v>7</v>
      </c>
      <c r="D67" s="2" t="n">
        <f aca="false">L__B!$D$67</f>
        <v>3</v>
      </c>
      <c r="E67" s="102" t="n">
        <f aca="false">L__B!$E$67</f>
        <v>66</v>
      </c>
      <c r="F67" s="103" t="n">
        <f aca="false">calc!$AN$67</f>
        <v>344.702912134155</v>
      </c>
      <c r="G67" s="103" t="n">
        <f aca="false">IF(ABS(F67-F66)&lt;100,F67,"")</f>
        <v>344.702912134155</v>
      </c>
      <c r="H67" s="16" t="n">
        <f aca="false">calc!$X$67</f>
        <v>38.3378132025819</v>
      </c>
      <c r="I67" s="104" t="n">
        <f aca="false">IF(ABS(H67-H66)&lt;100,H67,"")</f>
        <v>38.3378132025819</v>
      </c>
      <c r="J67" s="6" t="n">
        <f aca="false">calc!$Z$67</f>
        <v>-1.44898146093675</v>
      </c>
      <c r="K67" s="16" t="n">
        <f aca="false">10*J67</f>
        <v>-14.4898146093675</v>
      </c>
      <c r="L67" s="6" t="str">
        <f aca="false">IF(ABS(H67-F67)/17.4&lt;1,(H67-F67)/17.4,"")</f>
        <v/>
      </c>
      <c r="M67" s="6" t="n">
        <f aca="false">IF(ABS(J67)/1.58&lt;1,J67/1.58/1.58,"")</f>
        <v>-0.580428401272533</v>
      </c>
      <c r="N67" s="6" t="str">
        <f aca="false">IF(OR(L67="",M67=""),"",ABS(L67)+ABS(M67))</f>
        <v/>
      </c>
      <c r="O67" s="3" t="str">
        <f aca="false">IF(OR(L67="",M67=""),"","SE?")</f>
        <v/>
      </c>
    </row>
    <row r="68" customFormat="false" ht="17" hidden="false" customHeight="true" outlineLevel="0" collapsed="false">
      <c r="C68" s="2" t="n">
        <f aca="false">L__B!$C$68</f>
        <v>8</v>
      </c>
      <c r="D68" s="2" t="n">
        <f aca="false">L__B!$D$68</f>
        <v>3</v>
      </c>
      <c r="E68" s="102" t="n">
        <f aca="false">L__B!$E$68</f>
        <v>67</v>
      </c>
      <c r="F68" s="103" t="n">
        <f aca="false">calc!$AN$68</f>
        <v>345.688559497939</v>
      </c>
      <c r="G68" s="103" t="n">
        <f aca="false">IF(ABS(F68-F67)&lt;100,F68,"")</f>
        <v>345.688559497939</v>
      </c>
      <c r="H68" s="16" t="n">
        <f aca="false">calc!$X$68</f>
        <v>50.6028413038316</v>
      </c>
      <c r="I68" s="104" t="n">
        <f aca="false">IF(ABS(H68-H67)&lt;100,H68,"")</f>
        <v>50.6028413038316</v>
      </c>
      <c r="J68" s="6" t="n">
        <f aca="false">calc!$Z$68</f>
        <v>-0.37870377658578</v>
      </c>
      <c r="K68" s="16" t="n">
        <f aca="false">10*J68</f>
        <v>-3.7870377658578</v>
      </c>
      <c r="L68" s="6" t="str">
        <f aca="false">IF(ABS(H68-F68)/17.4&lt;1,(H68-F68)/17.4,"")</f>
        <v/>
      </c>
      <c r="M68" s="6" t="n">
        <f aca="false">IF(ABS(J68)/1.58&lt;1,J68/1.58/1.58,"")</f>
        <v>-0.151699958574659</v>
      </c>
      <c r="N68" s="6" t="str">
        <f aca="false">IF(OR(L68="",M68=""),"",ABS(L68)+ABS(M68))</f>
        <v/>
      </c>
      <c r="O68" s="3" t="str">
        <f aca="false">IF(OR(L68="",M68=""),"","SE?")</f>
        <v/>
      </c>
    </row>
    <row r="69" customFormat="false" ht="17" hidden="false" customHeight="true" outlineLevel="0" collapsed="false">
      <c r="C69" s="2" t="n">
        <f aca="false">L__B!$C$69</f>
        <v>9</v>
      </c>
      <c r="D69" s="2" t="n">
        <f aca="false">L__B!$D$69</f>
        <v>3</v>
      </c>
      <c r="E69" s="102" t="n">
        <f aca="false">L__B!$E$69</f>
        <v>68</v>
      </c>
      <c r="F69" s="103" t="n">
        <f aca="false">calc!$AN$69</f>
        <v>346.674206861728</v>
      </c>
      <c r="G69" s="103" t="n">
        <f aca="false">IF(ABS(F69-F68)&lt;100,F69,"")</f>
        <v>346.674206861728</v>
      </c>
      <c r="H69" s="16" t="n">
        <f aca="false">calc!$X$69</f>
        <v>62.6308845165425</v>
      </c>
      <c r="I69" s="104" t="n">
        <f aca="false">IF(ABS(H69-H68)&lt;100,H69,"")</f>
        <v>62.6308845165425</v>
      </c>
      <c r="J69" s="6" t="n">
        <f aca="false">calc!$Z$69</f>
        <v>0.690814493374098</v>
      </c>
      <c r="K69" s="16" t="n">
        <f aca="false">10*J69</f>
        <v>6.90814493374098</v>
      </c>
      <c r="L69" s="6" t="str">
        <f aca="false">IF(ABS(H69-F69)/17.4&lt;1,(H69-F69)/17.4,"")</f>
        <v/>
      </c>
      <c r="M69" s="6" t="n">
        <f aca="false">IF(ABS(J69)/1.58&lt;1,J69/1.58/1.58,"")</f>
        <v>0.27672428031329</v>
      </c>
      <c r="N69" s="6" t="str">
        <f aca="false">IF(OR(L69="",M69=""),"",ABS(L69)+ABS(M69))</f>
        <v/>
      </c>
      <c r="O69" s="3" t="str">
        <f aca="false">IF(OR(L69="",M69=""),"","SE?")</f>
        <v/>
      </c>
    </row>
    <row r="70" customFormat="false" ht="17" hidden="false" customHeight="true" outlineLevel="0" collapsed="false">
      <c r="C70" s="2" t="n">
        <f aca="false">L__B!$C$70</f>
        <v>10</v>
      </c>
      <c r="D70" s="2" t="n">
        <f aca="false">L__B!$D$70</f>
        <v>3</v>
      </c>
      <c r="E70" s="102" t="n">
        <f aca="false">L__B!$E$70</f>
        <v>69</v>
      </c>
      <c r="F70" s="103" t="n">
        <f aca="false">calc!$AN$70</f>
        <v>347.659854225512</v>
      </c>
      <c r="G70" s="103" t="n">
        <f aca="false">IF(ABS(F70-F69)&lt;100,F70,"")</f>
        <v>347.659854225512</v>
      </c>
      <c r="H70" s="16" t="n">
        <f aca="false">calc!$X$70</f>
        <v>74.5080126763305</v>
      </c>
      <c r="I70" s="104" t="n">
        <f aca="false">IF(ABS(H70-H69)&lt;100,H70,"")</f>
        <v>74.5080126763305</v>
      </c>
      <c r="J70" s="6" t="n">
        <f aca="false">calc!$Z$70</f>
        <v>1.71806086572641</v>
      </c>
      <c r="K70" s="16" t="n">
        <f aca="false">10*J70</f>
        <v>17.1806086572641</v>
      </c>
      <c r="L70" s="6" t="str">
        <f aca="false">IF(ABS(H70-F70)/17.4&lt;1,(H70-F70)/17.4,"")</f>
        <v/>
      </c>
      <c r="M70" s="6" t="str">
        <f aca="false">IF(ABS(J70)/1.58&lt;1,J70/1.58/1.58,"")</f>
        <v/>
      </c>
      <c r="N70" s="6" t="str">
        <f aca="false">IF(OR(L70="",M70=""),"",ABS(L70)+ABS(M70))</f>
        <v/>
      </c>
      <c r="O70" s="3" t="str">
        <f aca="false">IF(OR(L70="",M70=""),"","SE?")</f>
        <v/>
      </c>
    </row>
    <row r="71" customFormat="false" ht="17" hidden="false" customHeight="true" outlineLevel="0" collapsed="false">
      <c r="C71" s="2" t="n">
        <f aca="false">L__B!$C$71</f>
        <v>11</v>
      </c>
      <c r="D71" s="2" t="n">
        <f aca="false">L__B!$D$71</f>
        <v>3</v>
      </c>
      <c r="E71" s="102" t="n">
        <f aca="false">L__B!$E$71</f>
        <v>70</v>
      </c>
      <c r="F71" s="103" t="n">
        <f aca="false">calc!$AN$71</f>
        <v>348.645501589303</v>
      </c>
      <c r="G71" s="103" t="n">
        <f aca="false">IF(ABS(F71-F70)&lt;100,F71,"")</f>
        <v>348.645501589303</v>
      </c>
      <c r="H71" s="16" t="n">
        <f aca="false">calc!$X$71</f>
        <v>86.3246378352171</v>
      </c>
      <c r="I71" s="104" t="n">
        <f aca="false">IF(ABS(H71-H70)&lt;100,H71,"")</f>
        <v>86.3246378352171</v>
      </c>
      <c r="J71" s="6" t="n">
        <f aca="false">calc!$Z$71</f>
        <v>2.66593474016499</v>
      </c>
      <c r="K71" s="16" t="n">
        <f aca="false">10*J71</f>
        <v>26.6593474016499</v>
      </c>
      <c r="L71" s="6" t="str">
        <f aca="false">IF(ABS(H71-F71)/17.4&lt;1,(H71-F71)/17.4,"")</f>
        <v/>
      </c>
      <c r="M71" s="6" t="str">
        <f aca="false">IF(ABS(J71)/1.58&lt;1,J71/1.58/1.58,"")</f>
        <v/>
      </c>
      <c r="N71" s="6" t="str">
        <f aca="false">IF(OR(L71="",M71=""),"",ABS(L71)+ABS(M71))</f>
        <v/>
      </c>
      <c r="O71" s="3" t="str">
        <f aca="false">IF(OR(L71="",M71=""),"","SE?")</f>
        <v/>
      </c>
    </row>
    <row r="72" customFormat="false" ht="17" hidden="false" customHeight="true" outlineLevel="0" collapsed="false">
      <c r="C72" s="2" t="n">
        <f aca="false">L__B!$C$72</f>
        <v>12</v>
      </c>
      <c r="D72" s="2" t="n">
        <f aca="false">L__B!$D$72</f>
        <v>3</v>
      </c>
      <c r="E72" s="102" t="n">
        <f aca="false">L__B!$E$72</f>
        <v>71</v>
      </c>
      <c r="F72" s="103" t="n">
        <f aca="false">calc!$AN$72</f>
        <v>349.631148953089</v>
      </c>
      <c r="G72" s="103" t="n">
        <f aca="false">IF(ABS(F72-F71)&lt;100,F72,"")</f>
        <v>349.631148953089</v>
      </c>
      <c r="H72" s="16" t="n">
        <f aca="false">calc!$X$72</f>
        <v>98.1694258505817</v>
      </c>
      <c r="I72" s="104" t="n">
        <f aca="false">IF(ABS(H72-H71)&lt;100,H72,"")</f>
        <v>98.1694258505817</v>
      </c>
      <c r="J72" s="6" t="n">
        <f aca="false">calc!$Z$72</f>
        <v>3.50017489899978</v>
      </c>
      <c r="K72" s="16" t="n">
        <f aca="false">10*J72</f>
        <v>35.0017489899978</v>
      </c>
      <c r="L72" s="6" t="str">
        <f aca="false">IF(ABS(H72-F72)/17.4&lt;1,(H72-F72)/17.4,"")</f>
        <v/>
      </c>
      <c r="M72" s="6" t="str">
        <f aca="false">IF(ABS(J72)/1.58&lt;1,J72/1.58/1.58,"")</f>
        <v/>
      </c>
      <c r="N72" s="6" t="str">
        <f aca="false">IF(OR(L72="",M72=""),"",ABS(L72)+ABS(M72))</f>
        <v/>
      </c>
      <c r="O72" s="3" t="str">
        <f aca="false">IF(OR(L72="",M72=""),"","SE?")</f>
        <v/>
      </c>
    </row>
    <row r="73" customFormat="false" ht="17" hidden="false" customHeight="true" outlineLevel="0" collapsed="false">
      <c r="C73" s="2" t="n">
        <f aca="false">L__B!$C$73</f>
        <v>13</v>
      </c>
      <c r="D73" s="2" t="n">
        <f aca="false">L__B!$D$73</f>
        <v>3</v>
      </c>
      <c r="E73" s="102" t="n">
        <f aca="false">L__B!$E$73</f>
        <v>72</v>
      </c>
      <c r="F73" s="103" t="n">
        <f aca="false">calc!$AN$73</f>
        <v>350.616796316877</v>
      </c>
      <c r="G73" s="103" t="n">
        <f aca="false">IF(ABS(F73-F72)&lt;100,F73,"")</f>
        <v>350.616796316877</v>
      </c>
      <c r="H73" s="16" t="n">
        <f aca="false">calc!$X$73</f>
        <v>110.125006477813</v>
      </c>
      <c r="I73" s="104" t="n">
        <f aca="false">IF(ABS(H73-H72)&lt;100,H73,"")</f>
        <v>110.125006477813</v>
      </c>
      <c r="J73" s="6" t="n">
        <f aca="false">calc!$Z$73</f>
        <v>4.18813240415431</v>
      </c>
      <c r="K73" s="16" t="n">
        <f aca="false">10*J73</f>
        <v>41.8813240415431</v>
      </c>
      <c r="L73" s="6" t="str">
        <f aca="false">IF(ABS(H73-F73)/17.4&lt;1,(H73-F73)/17.4,"")</f>
        <v/>
      </c>
      <c r="M73" s="6" t="str">
        <f aca="false">IF(ABS(J73)/1.58&lt;1,J73/1.58/1.58,"")</f>
        <v/>
      </c>
      <c r="N73" s="6" t="str">
        <f aca="false">IF(OR(L73="",M73=""),"",ABS(L73)+ABS(M73))</f>
        <v/>
      </c>
      <c r="O73" s="3" t="str">
        <f aca="false">IF(OR(L73="",M73=""),"","SE?")</f>
        <v/>
      </c>
    </row>
    <row r="74" customFormat="false" ht="17" hidden="false" customHeight="true" outlineLevel="0" collapsed="false">
      <c r="C74" s="2" t="n">
        <f aca="false">L__B!$C$74</f>
        <v>14</v>
      </c>
      <c r="D74" s="2" t="n">
        <f aca="false">L__B!$D$74</f>
        <v>3</v>
      </c>
      <c r="E74" s="102" t="n">
        <f aca="false">L__B!$E$74</f>
        <v>73</v>
      </c>
      <c r="F74" s="103" t="n">
        <f aca="false">calc!$AN$74</f>
        <v>351.602443680666</v>
      </c>
      <c r="G74" s="103" t="n">
        <f aca="false">IF(ABS(F74-F73)&lt;100,F74,"")</f>
        <v>351.602443680666</v>
      </c>
      <c r="H74" s="16" t="n">
        <f aca="false">calc!$X$74</f>
        <v>122.264402835736</v>
      </c>
      <c r="I74" s="104" t="n">
        <f aca="false">IF(ABS(H74-H73)&lt;100,H74,"")</f>
        <v>122.264402835736</v>
      </c>
      <c r="J74" s="6" t="n">
        <f aca="false">calc!$Z$74</f>
        <v>4.69817708743266</v>
      </c>
      <c r="K74" s="16" t="n">
        <f aca="false">10*J74</f>
        <v>46.9817708743266</v>
      </c>
      <c r="L74" s="6" t="str">
        <f aca="false">IF(ABS(H74-F74)/17.4&lt;1,(H74-F74)/17.4,"")</f>
        <v/>
      </c>
      <c r="M74" s="6" t="str">
        <f aca="false">IF(ABS(J74)/1.58&lt;1,J74/1.58/1.58,"")</f>
        <v/>
      </c>
      <c r="N74" s="6" t="str">
        <f aca="false">IF(OR(L74="",M74=""),"",ABS(L74)+ABS(M74))</f>
        <v/>
      </c>
      <c r="O74" s="3" t="str">
        <f aca="false">IF(OR(L74="",M74=""),"","SE?")</f>
        <v/>
      </c>
    </row>
    <row r="75" customFormat="false" ht="17" hidden="false" customHeight="true" outlineLevel="0" collapsed="false">
      <c r="C75" s="2" t="n">
        <f aca="false">L__B!$C$75</f>
        <v>15</v>
      </c>
      <c r="D75" s="2" t="n">
        <f aca="false">L__B!$D$75</f>
        <v>3</v>
      </c>
      <c r="E75" s="102" t="n">
        <f aca="false">L__B!$E$75</f>
        <v>74</v>
      </c>
      <c r="F75" s="103" t="n">
        <f aca="false">calc!$AN$75</f>
        <v>352.588091044456</v>
      </c>
      <c r="G75" s="103" t="n">
        <f aca="false">IF(ABS(F75-F74)&lt;100,F75,"")</f>
        <v>352.588091044456</v>
      </c>
      <c r="H75" s="16" t="n">
        <f aca="false">calc!$X$75</f>
        <v>134.647176390093</v>
      </c>
      <c r="I75" s="104" t="n">
        <f aca="false">IF(ABS(H75-H74)&lt;100,H75,"")</f>
        <v>134.647176390093</v>
      </c>
      <c r="J75" s="6" t="n">
        <f aca="false">calc!$Z$75</f>
        <v>5.00006954429114</v>
      </c>
      <c r="K75" s="16" t="n">
        <f aca="false">10*J75</f>
        <v>50.0006954429114</v>
      </c>
      <c r="L75" s="6" t="str">
        <f aca="false">IF(ABS(H75-F75)/17.4&lt;1,(H75-F75)/17.4,"")</f>
        <v/>
      </c>
      <c r="M75" s="6" t="str">
        <f aca="false">IF(ABS(J75)/1.58&lt;1,J75/1.58/1.58,"")</f>
        <v/>
      </c>
      <c r="N75" s="6" t="str">
        <f aca="false">IF(OR(L75="",M75=""),"",ABS(L75)+ABS(M75))</f>
        <v/>
      </c>
      <c r="O75" s="3" t="str">
        <f aca="false">IF(OR(L75="",M75=""),"","SE?")</f>
        <v/>
      </c>
    </row>
    <row r="76" customFormat="false" ht="17" hidden="false" customHeight="true" outlineLevel="0" collapsed="false">
      <c r="C76" s="2" t="n">
        <f aca="false">L__B!$C$76</f>
        <v>16</v>
      </c>
      <c r="D76" s="2" t="n">
        <f aca="false">L__B!$D$76</f>
        <v>3</v>
      </c>
      <c r="E76" s="102" t="n">
        <f aca="false">L__B!$E$76</f>
        <v>75</v>
      </c>
      <c r="F76" s="103" t="n">
        <f aca="false">calc!$AN$76</f>
        <v>353.573738408248</v>
      </c>
      <c r="G76" s="103" t="n">
        <f aca="false">IF(ABS(F76-F75)&lt;100,F76,"")</f>
        <v>353.573738408248</v>
      </c>
      <c r="H76" s="16" t="n">
        <f aca="false">calc!$X$76</f>
        <v>147.315040685009</v>
      </c>
      <c r="I76" s="104" t="n">
        <f aca="false">IF(ABS(H76-H75)&lt;100,H76,"")</f>
        <v>147.315040685009</v>
      </c>
      <c r="J76" s="6" t="n">
        <f aca="false">calc!$Z$76</f>
        <v>5.06672676479048</v>
      </c>
      <c r="K76" s="16" t="n">
        <f aca="false">10*J76</f>
        <v>50.6672676479048</v>
      </c>
      <c r="L76" s="6" t="str">
        <f aca="false">IF(ABS(H76-F76)/17.4&lt;1,(H76-F76)/17.4,"")</f>
        <v/>
      </c>
      <c r="M76" s="6" t="str">
        <f aca="false">IF(ABS(J76)/1.58&lt;1,J76/1.58/1.58,"")</f>
        <v/>
      </c>
      <c r="N76" s="6" t="str">
        <f aca="false">IF(OR(L76="",M76=""),"",ABS(L76)+ABS(M76))</f>
        <v/>
      </c>
      <c r="O76" s="3" t="str">
        <f aca="false">IF(OR(L76="",M76=""),"","SE?")</f>
        <v/>
      </c>
    </row>
    <row r="77" customFormat="false" ht="17" hidden="false" customHeight="true" outlineLevel="0" collapsed="false">
      <c r="C77" s="2" t="n">
        <f aca="false">L__B!$C$77</f>
        <v>17</v>
      </c>
      <c r="D77" s="2" t="n">
        <f aca="false">L__B!$D$77</f>
        <v>3</v>
      </c>
      <c r="E77" s="102" t="n">
        <f aca="false">L__B!$E$77</f>
        <v>76</v>
      </c>
      <c r="F77" s="103" t="n">
        <f aca="false">calc!$AN$77</f>
        <v>354.559385772038</v>
      </c>
      <c r="G77" s="103" t="n">
        <f aca="false">IF(ABS(F77-F76)&lt;100,F77,"")</f>
        <v>354.559385772038</v>
      </c>
      <c r="H77" s="16" t="n">
        <f aca="false">calc!$X$77</f>
        <v>160.287714436012</v>
      </c>
      <c r="I77" s="104" t="n">
        <f aca="false">IF(ABS(H77-H76)&lt;100,H77,"")</f>
        <v>160.287714436012</v>
      </c>
      <c r="J77" s="6" t="n">
        <f aca="false">calc!$Z$77</f>
        <v>4.8776744428877</v>
      </c>
      <c r="K77" s="16" t="n">
        <f aca="false">10*J77</f>
        <v>48.776744428877</v>
      </c>
      <c r="L77" s="6" t="str">
        <f aca="false">IF(ABS(H77-F77)/17.4&lt;1,(H77-F77)/17.4,"")</f>
        <v/>
      </c>
      <c r="M77" s="6" t="str">
        <f aca="false">IF(ABS(J77)/1.58&lt;1,J77/1.58/1.58,"")</f>
        <v/>
      </c>
      <c r="N77" s="6" t="str">
        <f aca="false">IF(OR(L77="",M77=""),"",ABS(L77)+ABS(M77))</f>
        <v/>
      </c>
      <c r="O77" s="3" t="str">
        <f aca="false">IF(OR(L77="",M77=""),"","SE?")</f>
        <v/>
      </c>
    </row>
    <row r="78" customFormat="false" ht="17" hidden="false" customHeight="true" outlineLevel="0" collapsed="false">
      <c r="C78" s="2" t="n">
        <f aca="false">L__B!$C$78</f>
        <v>18</v>
      </c>
      <c r="D78" s="2" t="n">
        <f aca="false">L__B!$D$78</f>
        <v>3</v>
      </c>
      <c r="E78" s="102" t="n">
        <f aca="false">L__B!$E$78</f>
        <v>77</v>
      </c>
      <c r="F78" s="103" t="n">
        <f aca="false">calc!$AN$78</f>
        <v>355.545033135828</v>
      </c>
      <c r="G78" s="103" t="n">
        <f aca="false">IF(ABS(F78-F77)&lt;100,F78,"")</f>
        <v>355.545033135828</v>
      </c>
      <c r="H78" s="16" t="n">
        <f aca="false">calc!$X$78</f>
        <v>173.560517351659</v>
      </c>
      <c r="I78" s="104" t="n">
        <f aca="false">IF(ABS(H78-H77)&lt;100,H78,"")</f>
        <v>173.560517351659</v>
      </c>
      <c r="J78" s="6" t="n">
        <f aca="false">calc!$Z$78</f>
        <v>4.42393463221455</v>
      </c>
      <c r="K78" s="16" t="n">
        <f aca="false">10*J78</f>
        <v>44.2393463221455</v>
      </c>
      <c r="L78" s="6" t="str">
        <f aca="false">IF(ABS(H78-F78)/17.4&lt;1,(H78-F78)/17.4,"")</f>
        <v/>
      </c>
      <c r="M78" s="6" t="str">
        <f aca="false">IF(ABS(J78)/1.58&lt;1,J78/1.58/1.58,"")</f>
        <v/>
      </c>
      <c r="N78" s="6" t="str">
        <f aca="false">IF(OR(L78="",M78=""),"",ABS(L78)+ABS(M78))</f>
        <v/>
      </c>
      <c r="O78" s="3" t="str">
        <f aca="false">IF(OR(L78="",M78=""),"","SE?")</f>
        <v/>
      </c>
    </row>
    <row r="79" customFormat="false" ht="17" hidden="false" customHeight="true" outlineLevel="0" collapsed="false">
      <c r="C79" s="2" t="n">
        <f aca="false">L__B!$C$79</f>
        <v>19</v>
      </c>
      <c r="D79" s="2" t="n">
        <f aca="false">L__B!$D$79</f>
        <v>3</v>
      </c>
      <c r="E79" s="102" t="n">
        <f aca="false">L__B!$E$79</f>
        <v>78</v>
      </c>
      <c r="F79" s="103" t="n">
        <f aca="false">calc!$AN$79</f>
        <v>356.53068049962</v>
      </c>
      <c r="G79" s="103" t="n">
        <f aca="false">IF(ABS(F79-F78)&lt;100,F79,"")</f>
        <v>356.53068049962</v>
      </c>
      <c r="H79" s="16" t="n">
        <f aca="false">calc!$X$79</f>
        <v>187.105237679086</v>
      </c>
      <c r="I79" s="104" t="n">
        <f aca="false">IF(ABS(H79-H78)&lt;100,H79,"")</f>
        <v>187.105237679086</v>
      </c>
      <c r="J79" s="6" t="n">
        <f aca="false">calc!$Z$79</f>
        <v>3.71325873932798</v>
      </c>
      <c r="K79" s="16" t="n">
        <f aca="false">10*J79</f>
        <v>37.1325873932798</v>
      </c>
      <c r="L79" s="6" t="str">
        <f aca="false">IF(ABS(H79-F79)/17.4&lt;1,(H79-F79)/17.4,"")</f>
        <v/>
      </c>
      <c r="M79" s="6" t="str">
        <f aca="false">IF(ABS(J79)/1.58&lt;1,J79/1.58/1.58,"")</f>
        <v/>
      </c>
      <c r="N79" s="6" t="str">
        <f aca="false">IF(OR(L79="",M79=""),"",ABS(L79)+ABS(M79))</f>
        <v/>
      </c>
      <c r="O79" s="3" t="str">
        <f aca="false">IF(OR(L79="",M79=""),"","SE?")</f>
        <v/>
      </c>
    </row>
    <row r="80" customFormat="false" ht="17" hidden="false" customHeight="true" outlineLevel="0" collapsed="false">
      <c r="C80" s="2" t="n">
        <f aca="false">L__B!$C$80</f>
        <v>20</v>
      </c>
      <c r="D80" s="2" t="n">
        <f aca="false">L__B!$D$80</f>
        <v>3</v>
      </c>
      <c r="E80" s="102" t="n">
        <f aca="false">L__B!$E$80</f>
        <v>79</v>
      </c>
      <c r="F80" s="103" t="n">
        <f aca="false">calc!$AN$80</f>
        <v>357.516327863412</v>
      </c>
      <c r="G80" s="103" t="n">
        <f aca="false">IF(ABS(F80-F79)&lt;100,F80,"")</f>
        <v>357.516327863412</v>
      </c>
      <c r="H80" s="16" t="n">
        <f aca="false">calc!$X$80</f>
        <v>200.875012233818</v>
      </c>
      <c r="I80" s="104" t="n">
        <f aca="false">IF(ABS(H80-H79)&lt;100,H80,"")</f>
        <v>200.875012233818</v>
      </c>
      <c r="J80" s="6" t="n">
        <f aca="false">calc!$Z$80</f>
        <v>2.77393081049199</v>
      </c>
      <c r="K80" s="16" t="n">
        <f aca="false">10*J80</f>
        <v>27.7393081049199</v>
      </c>
      <c r="L80" s="6" t="str">
        <f aca="false">IF(ABS(H80-F80)/17.4&lt;1,(H80-F80)/17.4,"")</f>
        <v/>
      </c>
      <c r="M80" s="6" t="str">
        <f aca="false">IF(ABS(J80)/1.58&lt;1,J80/1.58/1.58,"")</f>
        <v/>
      </c>
      <c r="N80" s="6" t="str">
        <f aca="false">IF(OR(L80="",M80=""),"",ABS(L80)+ABS(M80))</f>
        <v/>
      </c>
      <c r="O80" s="3" t="str">
        <f aca="false">IF(OR(L80="",M80=""),"","SE?")</f>
        <v/>
      </c>
    </row>
    <row r="81" customFormat="false" ht="17" hidden="false" customHeight="true" outlineLevel="0" collapsed="false">
      <c r="C81" s="2" t="n">
        <f aca="false">L__B!$C$81</f>
        <v>21</v>
      </c>
      <c r="D81" s="2" t="n">
        <f aca="false">L__B!$D$81</f>
        <v>3</v>
      </c>
      <c r="E81" s="102" t="n">
        <f aca="false">L__B!$E$81</f>
        <v>80</v>
      </c>
      <c r="F81" s="103" t="n">
        <f aca="false">calc!$AN$81</f>
        <v>358.501975227204</v>
      </c>
      <c r="G81" s="103" t="n">
        <f aca="false">IF(ABS(F81-F80)&lt;100,F81,"")</f>
        <v>358.501975227204</v>
      </c>
      <c r="H81" s="16" t="n">
        <f aca="false">calc!$X$81</f>
        <v>214.812624529445</v>
      </c>
      <c r="I81" s="104" t="n">
        <f aca="false">IF(ABS(H81-H80)&lt;100,H81,"")</f>
        <v>214.812624529445</v>
      </c>
      <c r="J81" s="6" t="n">
        <f aca="false">calc!$Z$81</f>
        <v>1.65539148607303</v>
      </c>
      <c r="K81" s="16" t="n">
        <f aca="false">10*J81</f>
        <v>16.5539148607303</v>
      </c>
      <c r="L81" s="6" t="str">
        <f aca="false">IF(ABS(H81-F81)/17.4&lt;1,(H81-F81)/17.4,"")</f>
        <v/>
      </c>
      <c r="M81" s="6" t="str">
        <f aca="false">IF(ABS(J81)/1.58&lt;1,J81/1.58/1.58,"")</f>
        <v/>
      </c>
      <c r="N81" s="6" t="str">
        <f aca="false">IF(OR(L81="",M81=""),"",ABS(L81)+ABS(M81))</f>
        <v/>
      </c>
      <c r="O81" s="3" t="str">
        <f aca="false">IF(OR(L81="",M81=""),"","SE?")</f>
        <v/>
      </c>
    </row>
    <row r="82" customFormat="false" ht="17" hidden="false" customHeight="true" outlineLevel="0" collapsed="false">
      <c r="C82" s="2" t="n">
        <f aca="false">L__B!$C$82</f>
        <v>22</v>
      </c>
      <c r="D82" s="2" t="n">
        <f aca="false">L__B!$D$82</f>
        <v>3</v>
      </c>
      <c r="E82" s="102" t="n">
        <f aca="false">L__B!$E$82</f>
        <v>81</v>
      </c>
      <c r="F82" s="103" t="n">
        <f aca="false">calc!$AN$82</f>
        <v>359.487622590994</v>
      </c>
      <c r="G82" s="103" t="n">
        <f aca="false">IF(ABS(F82-F81)&lt;100,F82,"")</f>
        <v>359.487622590994</v>
      </c>
      <c r="H82" s="16" t="n">
        <f aca="false">calc!$X$82</f>
        <v>228.860281846406</v>
      </c>
      <c r="I82" s="104" t="n">
        <f aca="false">IF(ABS(H82-H81)&lt;100,H82,"")</f>
        <v>228.860281846406</v>
      </c>
      <c r="J82" s="6" t="n">
        <f aca="false">calc!$Z$82</f>
        <v>0.424898962946707</v>
      </c>
      <c r="K82" s="16" t="n">
        <f aca="false">10*J82</f>
        <v>4.24898962946707</v>
      </c>
      <c r="L82" s="6" t="str">
        <f aca="false">IF(ABS(H82-F82)/17.4&lt;1,(H82-F82)/17.4,"")</f>
        <v/>
      </c>
      <c r="M82" s="6" t="n">
        <f aca="false">IF(ABS(J82)/1.58&lt;1,J82/1.58/1.58,"")</f>
        <v>0.170204679917765</v>
      </c>
      <c r="N82" s="6" t="str">
        <f aca="false">IF(OR(L82="",M82=""),"",ABS(L82)+ABS(M82))</f>
        <v/>
      </c>
      <c r="O82" s="3" t="str">
        <f aca="false">IF(OR(L82="",M82=""),"","SE?")</f>
        <v/>
      </c>
    </row>
    <row r="83" customFormat="false" ht="17" hidden="false" customHeight="true" outlineLevel="0" collapsed="false">
      <c r="C83" s="2" t="n">
        <f aca="false">L__B!$C$83</f>
        <v>23</v>
      </c>
      <c r="D83" s="2" t="n">
        <f aca="false">L__B!$D$83</f>
        <v>3</v>
      </c>
      <c r="E83" s="102" t="n">
        <f aca="false">L__B!$E$83</f>
        <v>82</v>
      </c>
      <c r="F83" s="103" t="n">
        <f aca="false">calc!$AN$83</f>
        <v>0.473269954787611</v>
      </c>
      <c r="G83" s="103" t="str">
        <f aca="false">IF(ABS(F83-F82)&lt;100,F83,"")</f>
        <v/>
      </c>
      <c r="H83" s="16" t="n">
        <f aca="false">calc!$X$83</f>
        <v>242.968162507403</v>
      </c>
      <c r="I83" s="104" t="n">
        <f aca="false">IF(ABS(H83-H82)&lt;100,H83,"")</f>
        <v>242.968162507403</v>
      </c>
      <c r="J83" s="6" t="n">
        <f aca="false">calc!$Z$83</f>
        <v>-0.839063532190848</v>
      </c>
      <c r="K83" s="16" t="n">
        <f aca="false">10*J83</f>
        <v>-8.39063532190848</v>
      </c>
      <c r="L83" s="6" t="str">
        <f aca="false">IF(ABS(H83-F83)/17.4&lt;1,(H83-F83)/17.4,"")</f>
        <v/>
      </c>
      <c r="M83" s="6" t="n">
        <f aca="false">IF(ABS(J83)/1.58&lt;1,J83/1.58/1.58,"")</f>
        <v>-0.336109410427355</v>
      </c>
      <c r="N83" s="6" t="str">
        <f aca="false">IF(OR(L83="",M83=""),"",ABS(L83)+ABS(M83))</f>
        <v/>
      </c>
      <c r="O83" s="3" t="str">
        <f aca="false">IF(OR(L83="",M83=""),"","SE?")</f>
        <v/>
      </c>
    </row>
    <row r="84" customFormat="false" ht="17" hidden="false" customHeight="true" outlineLevel="0" collapsed="false">
      <c r="C84" s="2" t="n">
        <f aca="false">L__B!$C$84</f>
        <v>24</v>
      </c>
      <c r="D84" s="2" t="n">
        <f aca="false">L__B!$D$84</f>
        <v>3</v>
      </c>
      <c r="E84" s="102" t="n">
        <f aca="false">L__B!$E$84</f>
        <v>83</v>
      </c>
      <c r="F84" s="103" t="n">
        <f aca="false">calc!$AN$84</f>
        <v>1.45891731857955</v>
      </c>
      <c r="G84" s="103" t="n">
        <f aca="false">IF(ABS(F84-F83)&lt;100,F84,"")</f>
        <v>1.45891731857955</v>
      </c>
      <c r="H84" s="16" t="n">
        <f aca="false">calc!$X$84</f>
        <v>257.099212976232</v>
      </c>
      <c r="I84" s="104" t="n">
        <f aca="false">IF(ABS(H84-H83)&lt;100,H84,"")</f>
        <v>257.099212976232</v>
      </c>
      <c r="J84" s="6" t="n">
        <f aca="false">calc!$Z$84</f>
        <v>-2.05477759238647</v>
      </c>
      <c r="K84" s="16" t="n">
        <f aca="false">10*J84</f>
        <v>-20.5477759238647</v>
      </c>
      <c r="L84" s="6" t="str">
        <f aca="false">IF(ABS(H84-F84)/17.4&lt;1,(H84-F84)/17.4,"")</f>
        <v/>
      </c>
      <c r="M84" s="6" t="str">
        <f aca="false">IF(ABS(J84)/1.58&lt;1,J84/1.58/1.58,"")</f>
        <v/>
      </c>
      <c r="N84" s="6" t="str">
        <f aca="false">IF(OR(L84="",M84=""),"",ABS(L84)+ABS(M84))</f>
        <v/>
      </c>
      <c r="O84" s="3" t="str">
        <f aca="false">IF(OR(L84="",M84=""),"","SE?")</f>
        <v/>
      </c>
    </row>
    <row r="85" customFormat="false" ht="17" hidden="false" customHeight="true" outlineLevel="0" collapsed="false">
      <c r="C85" s="2" t="n">
        <f aca="false">L__B!$C$85</f>
        <v>25</v>
      </c>
      <c r="D85" s="2" t="n">
        <f aca="false">L__B!$D$85</f>
        <v>3</v>
      </c>
      <c r="E85" s="102" t="n">
        <f aca="false">L__B!$E$85</f>
        <v>84</v>
      </c>
      <c r="F85" s="103" t="n">
        <f aca="false">calc!$AN$85</f>
        <v>2.44456468237513</v>
      </c>
      <c r="G85" s="103" t="n">
        <f aca="false">IF(ABS(F85-F84)&lt;100,F85,"")</f>
        <v>2.44456468237513</v>
      </c>
      <c r="H85" s="16" t="n">
        <f aca="false">calc!$X$85</f>
        <v>271.228829524948</v>
      </c>
      <c r="I85" s="104" t="n">
        <f aca="false">IF(ABS(H85-H84)&lt;100,H85,"")</f>
        <v>271.228829524948</v>
      </c>
      <c r="J85" s="6" t="n">
        <f aca="false">calc!$Z$85</f>
        <v>-3.1447082565863</v>
      </c>
      <c r="K85" s="16" t="n">
        <f aca="false">10*J85</f>
        <v>-31.4470825658631</v>
      </c>
      <c r="L85" s="6" t="str">
        <f aca="false">IF(ABS(H85-F85)/17.4&lt;1,(H85-F85)/17.4,"")</f>
        <v/>
      </c>
      <c r="M85" s="6" t="str">
        <f aca="false">IF(ABS(J85)/1.58&lt;1,J85/1.58/1.58,"")</f>
        <v/>
      </c>
      <c r="N85" s="6" t="str">
        <f aca="false">IF(OR(L85="",M85=""),"",ABS(L85)+ABS(M85))</f>
        <v/>
      </c>
      <c r="O85" s="3" t="str">
        <f aca="false">IF(OR(L85="",M85=""),"","SE?")</f>
        <v/>
      </c>
    </row>
    <row r="86" customFormat="false" ht="17" hidden="false" customHeight="true" outlineLevel="0" collapsed="false">
      <c r="C86" s="2" t="n">
        <f aca="false">L__B!$C$86</f>
        <v>26</v>
      </c>
      <c r="D86" s="2" t="n">
        <f aca="false">L__B!$D$86</f>
        <v>3</v>
      </c>
      <c r="E86" s="102" t="n">
        <f aca="false">L__B!$E$86</f>
        <v>85</v>
      </c>
      <c r="F86" s="103" t="n">
        <f aca="false">calc!$AN$86</f>
        <v>3.43021204616889</v>
      </c>
      <c r="G86" s="103" t="n">
        <f aca="false">IF(ABS(F86-F85)&lt;100,F86,"")</f>
        <v>3.43021204616889</v>
      </c>
      <c r="H86" s="16" t="n">
        <f aca="false">calc!$X$86</f>
        <v>285.339795754892</v>
      </c>
      <c r="I86" s="104" t="n">
        <f aca="false">IF(ABS(H86-H85)&lt;100,H86,"")</f>
        <v>285.339795754892</v>
      </c>
      <c r="J86" s="6" t="n">
        <f aca="false">calc!$Z$86</f>
        <v>-4.04125343750652</v>
      </c>
      <c r="K86" s="16" t="n">
        <f aca="false">10*J86</f>
        <v>-40.4125343750652</v>
      </c>
      <c r="L86" s="6" t="str">
        <f aca="false">IF(ABS(H86-F86)/17.4&lt;1,(H86-F86)/17.4,"")</f>
        <v/>
      </c>
      <c r="M86" s="6" t="str">
        <f aca="false">IF(ABS(J86)/1.58&lt;1,J86/1.58/1.58,"")</f>
        <v/>
      </c>
      <c r="N86" s="6" t="str">
        <f aca="false">IF(OR(L86="",M86=""),"",ABS(L86)+ABS(M86))</f>
        <v/>
      </c>
      <c r="O86" s="3" t="str">
        <f aca="false">IF(OR(L86="",M86=""),"","SE?")</f>
        <v/>
      </c>
    </row>
    <row r="87" customFormat="false" ht="17" hidden="false" customHeight="true" outlineLevel="0" collapsed="false">
      <c r="C87" s="2" t="n">
        <f aca="false">L__B!$C$87</f>
        <v>27</v>
      </c>
      <c r="D87" s="2" t="n">
        <f aca="false">L__B!$D$87</f>
        <v>3</v>
      </c>
      <c r="E87" s="102" t="n">
        <f aca="false">L__B!$E$87</f>
        <v>86</v>
      </c>
      <c r="F87" s="103" t="n">
        <f aca="false">calc!$AN$87</f>
        <v>4.41585940996447</v>
      </c>
      <c r="G87" s="103" t="n">
        <f aca="false">IF(ABS(F87-F86)&lt;100,F87,"")</f>
        <v>4.41585940996447</v>
      </c>
      <c r="H87" s="16" t="n">
        <f aca="false">calc!$X$87</f>
        <v>299.414528046722</v>
      </c>
      <c r="I87" s="104" t="n">
        <f aca="false">IF(ABS(H87-H86)&lt;100,H87,"")</f>
        <v>299.414528046722</v>
      </c>
      <c r="J87" s="6" t="n">
        <f aca="false">calc!$Z$87</f>
        <v>-4.69085160645408</v>
      </c>
      <c r="K87" s="16" t="n">
        <f aca="false">10*J87</f>
        <v>-46.9085160645408</v>
      </c>
      <c r="L87" s="6" t="str">
        <f aca="false">IF(ABS(H87-F87)/17.4&lt;1,(H87-F87)/17.4,"")</f>
        <v/>
      </c>
      <c r="M87" s="6" t="str">
        <f aca="false">IF(ABS(J87)/1.58&lt;1,J87/1.58/1.58,"")</f>
        <v/>
      </c>
      <c r="N87" s="6" t="str">
        <f aca="false">IF(OR(L87="",M87=""),"",ABS(L87)+ABS(M87))</f>
        <v/>
      </c>
      <c r="O87" s="3" t="str">
        <f aca="false">IF(OR(L87="",M87=""),"","SE?")</f>
        <v/>
      </c>
    </row>
    <row r="88" customFormat="false" ht="17" hidden="false" customHeight="true" outlineLevel="0" collapsed="false">
      <c r="C88" s="2" t="n">
        <f aca="false">L__B!$C$88</f>
        <v>28</v>
      </c>
      <c r="D88" s="2" t="n">
        <f aca="false">L__B!$D$88</f>
        <v>3</v>
      </c>
      <c r="E88" s="102" t="n">
        <f aca="false">L__B!$E$88</f>
        <v>87</v>
      </c>
      <c r="F88" s="103" t="n">
        <f aca="false">calc!$AN$88</f>
        <v>5.40150677376005</v>
      </c>
      <c r="G88" s="103" t="n">
        <f aca="false">IF(ABS(F88-F87)&lt;100,F88,"")</f>
        <v>5.40150677376005</v>
      </c>
      <c r="H88" s="16" t="n">
        <f aca="false">calc!$X$88</f>
        <v>313.427666345688</v>
      </c>
      <c r="I88" s="104" t="n">
        <f aca="false">IF(ABS(H88-H87)&lt;100,H88,"")</f>
        <v>313.427666345688</v>
      </c>
      <c r="J88" s="6" t="n">
        <f aca="false">calc!$Z$88</f>
        <v>-5.05705120574829</v>
      </c>
      <c r="K88" s="16" t="n">
        <f aca="false">10*J88</f>
        <v>-50.5705120574829</v>
      </c>
      <c r="L88" s="6" t="str">
        <f aca="false">IF(ABS(H88-F88)/17.4&lt;1,(H88-F88)/17.4,"")</f>
        <v/>
      </c>
      <c r="M88" s="6" t="str">
        <f aca="false">IF(ABS(J88)/1.58&lt;1,J88/1.58/1.58,"")</f>
        <v/>
      </c>
      <c r="N88" s="6" t="str">
        <f aca="false">IF(OR(L88="",M88=""),"",ABS(L88)+ABS(M88))</f>
        <v/>
      </c>
      <c r="O88" s="3" t="str">
        <f aca="false">IF(OR(L88="",M88=""),"","SE?")</f>
        <v/>
      </c>
    </row>
    <row r="89" customFormat="false" ht="17" hidden="false" customHeight="true" outlineLevel="0" collapsed="false">
      <c r="C89" s="2" t="n">
        <f aca="false">L__B!$C$89</f>
        <v>29</v>
      </c>
      <c r="D89" s="2" t="n">
        <f aca="false">L__B!$D$89</f>
        <v>3</v>
      </c>
      <c r="E89" s="102" t="n">
        <f aca="false">L__B!$E$89</f>
        <v>88</v>
      </c>
      <c r="F89" s="103" t="n">
        <f aca="false">calc!$AN$89</f>
        <v>6.38715413755563</v>
      </c>
      <c r="G89" s="103" t="n">
        <f aca="false">IF(ABS(F89-F88)&lt;100,F89,"")</f>
        <v>6.38715413755563</v>
      </c>
      <c r="H89" s="16" t="n">
        <f aca="false">calc!$X$89</f>
        <v>327.341950755469</v>
      </c>
      <c r="I89" s="104" t="n">
        <f aca="false">IF(ABS(H89-H88)&lt;100,H89,"")</f>
        <v>327.341950755469</v>
      </c>
      <c r="J89" s="6" t="n">
        <f aca="false">calc!$Z$89</f>
        <v>-5.12288491094002</v>
      </c>
      <c r="K89" s="16" t="n">
        <f aca="false">10*J89</f>
        <v>-51.2288491094002</v>
      </c>
      <c r="L89" s="6" t="str">
        <f aca="false">IF(ABS(H89-F89)/17.4&lt;1,(H89-F89)/17.4,"")</f>
        <v/>
      </c>
      <c r="M89" s="6" t="str">
        <f aca="false">IF(ABS(J89)/1.58&lt;1,J89/1.58/1.58,"")</f>
        <v/>
      </c>
      <c r="N89" s="6" t="str">
        <f aca="false">IF(OR(L89="",M89=""),"",ABS(L89)+ABS(M89))</f>
        <v/>
      </c>
      <c r="O89" s="3" t="str">
        <f aca="false">IF(OR(L89="",M89=""),"","SE?")</f>
        <v/>
      </c>
    </row>
    <row r="90" customFormat="false" ht="17" hidden="false" customHeight="true" outlineLevel="0" collapsed="false">
      <c r="C90" s="2" t="n">
        <f aca="false">L__B!$C$90</f>
        <v>30</v>
      </c>
      <c r="D90" s="2" t="n">
        <f aca="false">L__B!$D$90</f>
        <v>3</v>
      </c>
      <c r="E90" s="102" t="n">
        <f aca="false">L__B!$E$90</f>
        <v>89</v>
      </c>
      <c r="F90" s="103" t="n">
        <f aca="false">calc!$AN$90</f>
        <v>7.37280150135121</v>
      </c>
      <c r="G90" s="103" t="n">
        <f aca="false">IF(ABS(F90-F89)&lt;100,F90,"")</f>
        <v>7.37280150135121</v>
      </c>
      <c r="H90" s="16" t="n">
        <f aca="false">calc!$X$90</f>
        <v>341.109168742506</v>
      </c>
      <c r="I90" s="104" t="n">
        <f aca="false">IF(ABS(H90-H89)&lt;100,H90,"")</f>
        <v>341.109168742506</v>
      </c>
      <c r="J90" s="6" t="n">
        <f aca="false">calc!$Z$90</f>
        <v>-4.89217152750564</v>
      </c>
      <c r="K90" s="16" t="n">
        <f aca="false">10*J90</f>
        <v>-48.9217152750564</v>
      </c>
      <c r="L90" s="6" t="str">
        <f aca="false">IF(ABS(H90-F90)/17.4&lt;1,(H90-F90)/17.4,"")</f>
        <v/>
      </c>
      <c r="M90" s="6" t="str">
        <f aca="false">IF(ABS(J90)/1.58&lt;1,J90/1.58/1.58,"")</f>
        <v/>
      </c>
      <c r="N90" s="6" t="str">
        <f aca="false">IF(OR(L90="",M90=""),"",ABS(L90)+ABS(M90))</f>
        <v/>
      </c>
      <c r="O90" s="3" t="str">
        <f aca="false">IF(OR(L90="",M90=""),"","SE?")</f>
        <v/>
      </c>
    </row>
    <row r="91" customFormat="false" ht="17" hidden="false" customHeight="true" outlineLevel="0" collapsed="false">
      <c r="C91" s="2" t="n">
        <f aca="false">L__B!$C$91</f>
        <v>31</v>
      </c>
      <c r="D91" s="2" t="n">
        <f aca="false">L__B!$D$91</f>
        <v>3</v>
      </c>
      <c r="E91" s="102" t="n">
        <f aca="false">L__B!$E$91</f>
        <v>90</v>
      </c>
      <c r="F91" s="103" t="n">
        <f aca="false">calc!$AN$91</f>
        <v>8.3584488651486</v>
      </c>
      <c r="G91" s="103" t="n">
        <f aca="false">IF(ABS(F91-F90)&lt;100,F91,"")</f>
        <v>8.3584488651486</v>
      </c>
      <c r="H91" s="16" t="n">
        <f aca="false">calc!$X$91</f>
        <v>354.676171777589</v>
      </c>
      <c r="I91" s="104" t="n">
        <f aca="false">IF(ABS(H91-H90)&lt;100,H91,"")</f>
        <v>354.676171777589</v>
      </c>
      <c r="J91" s="6" t="n">
        <f aca="false">calc!$Z$91</f>
        <v>-4.38889289165057</v>
      </c>
      <c r="K91" s="16" t="n">
        <f aca="false">10*J91</f>
        <v>-43.8889289165057</v>
      </c>
      <c r="L91" s="6" t="str">
        <f aca="false">IF(ABS(H91-F91)/17.4&lt;1,(H91-F91)/17.4,"")</f>
        <v/>
      </c>
      <c r="M91" s="6" t="str">
        <f aca="false">IF(ABS(J91)/1.58&lt;1,J91/1.58/1.58,"")</f>
        <v/>
      </c>
      <c r="N91" s="6" t="str">
        <f aca="false">IF(OR(L91="",M91=""),"",ABS(L91)+ABS(M91))</f>
        <v/>
      </c>
      <c r="O91" s="3" t="str">
        <f aca="false">IF(OR(L91="",M91=""),"","SE?")</f>
        <v/>
      </c>
    </row>
    <row r="92" customFormat="false" ht="17" hidden="false" customHeight="true" outlineLevel="0" collapsed="false">
      <c r="C92" s="2" t="n">
        <f aca="false">L__B!$C$92</f>
        <v>1</v>
      </c>
      <c r="D92" s="2" t="n">
        <f aca="false">L__B!$D$92</f>
        <v>4</v>
      </c>
      <c r="E92" s="102" t="n">
        <f aca="false">L__B!$E$92</f>
        <v>91</v>
      </c>
      <c r="F92" s="103" t="n">
        <f aca="false">calc!$AN$92</f>
        <v>9.34409622894418</v>
      </c>
      <c r="G92" s="103" t="n">
        <f aca="false">IF(ABS(F92-F91)&lt;100,F92,"")</f>
        <v>9.34409622894418</v>
      </c>
      <c r="H92" s="16" t="n">
        <f aca="false">calc!$X$92</f>
        <v>7.99421019289873</v>
      </c>
      <c r="I92" s="104" t="str">
        <f aca="false">IF(ABS(H92-H91)&lt;100,H92,"")</f>
        <v/>
      </c>
      <c r="J92" s="6" t="n">
        <f aca="false">calc!$Z$92</f>
        <v>-3.65405278407677</v>
      </c>
      <c r="K92" s="16" t="n">
        <f aca="false">10*J92</f>
        <v>-36.5405278407677</v>
      </c>
      <c r="L92" s="6" t="n">
        <f aca="false">IF(ABS(H92-F92)/17.4&lt;1,(H92-F92)/17.4,"")</f>
        <v>-0.0775796572439912</v>
      </c>
      <c r="M92" s="6" t="str">
        <f aca="false">IF(ABS(J92)/1.58&lt;1,J92/1.58/1.58,"")</f>
        <v/>
      </c>
      <c r="N92" s="6" t="str">
        <f aca="false">IF(OR(L92="",M92=""),"",ABS(L92)+ABS(M92))</f>
        <v/>
      </c>
      <c r="O92" s="3" t="str">
        <f aca="false">IF(OR(L92="",M92=""),"","SE?")</f>
        <v/>
      </c>
    </row>
    <row r="93" customFormat="false" ht="17" hidden="false" customHeight="true" outlineLevel="0" collapsed="false">
      <c r="C93" s="2" t="n">
        <f aca="false">L__B!$C$93</f>
        <v>2</v>
      </c>
      <c r="D93" s="2" t="n">
        <f aca="false">L__B!$D$93</f>
        <v>4</v>
      </c>
      <c r="E93" s="102" t="n">
        <f aca="false">L__B!$E$93</f>
        <v>92</v>
      </c>
      <c r="F93" s="103" t="n">
        <f aca="false">calc!$AN$93</f>
        <v>10.3297435927416</v>
      </c>
      <c r="G93" s="103" t="n">
        <f aca="false">IF(ABS(F93-F92)&lt;100,F93,"")</f>
        <v>10.3297435927416</v>
      </c>
      <c r="H93" s="16" t="n">
        <f aca="false">calc!$X$93</f>
        <v>21.0287632680193</v>
      </c>
      <c r="I93" s="104" t="n">
        <f aca="false">IF(ABS(H93-H92)&lt;100,H93,"")</f>
        <v>21.0287632680193</v>
      </c>
      <c r="J93" s="6" t="n">
        <f aca="false">calc!$Z$93</f>
        <v>-2.74032307649918</v>
      </c>
      <c r="K93" s="16" t="n">
        <f aca="false">10*J93</f>
        <v>-27.4032307649918</v>
      </c>
      <c r="L93" s="6" t="n">
        <f aca="false">IF(ABS(H93-F93)/17.4&lt;1,(H93-F93)/17.4,"")</f>
        <v>0.614886188234353</v>
      </c>
      <c r="M93" s="6" t="str">
        <f aca="false">IF(ABS(J93)/1.58&lt;1,J93/1.58/1.58,"")</f>
        <v/>
      </c>
      <c r="N93" s="6" t="str">
        <f aca="false">IF(OR(L93="",M93=""),"",ABS(L93)+ABS(M93))</f>
        <v/>
      </c>
      <c r="O93" s="3" t="str">
        <f aca="false">IF(OR(L93="",M93=""),"","SE?")</f>
        <v/>
      </c>
    </row>
    <row r="94" customFormat="false" ht="17" hidden="false" customHeight="true" outlineLevel="0" collapsed="false">
      <c r="C94" s="2" t="n">
        <f aca="false">L__B!$C$94</f>
        <v>3</v>
      </c>
      <c r="D94" s="2" t="n">
        <f aca="false">L__B!$D$94</f>
        <v>4</v>
      </c>
      <c r="E94" s="102" t="n">
        <f aca="false">L__B!$E$94</f>
        <v>93</v>
      </c>
      <c r="F94" s="103" t="n">
        <f aca="false">calc!$AN$94</f>
        <v>11.315390956539</v>
      </c>
      <c r="G94" s="103" t="n">
        <f aca="false">IF(ABS(F94-F93)&lt;100,F94,"")</f>
        <v>11.315390956539</v>
      </c>
      <c r="H94" s="16" t="n">
        <f aca="false">calc!$X$94</f>
        <v>33.7670158809909</v>
      </c>
      <c r="I94" s="104" t="n">
        <f aca="false">IF(ABS(H94-H93)&lt;100,H94,"")</f>
        <v>33.7670158809909</v>
      </c>
      <c r="J94" s="6" t="n">
        <f aca="false">calc!$Z$94</f>
        <v>-1.70571747879863</v>
      </c>
      <c r="K94" s="16" t="n">
        <f aca="false">10*J94</f>
        <v>-17.0571747879863</v>
      </c>
      <c r="L94" s="6" t="str">
        <f aca="false">IF(ABS(H94-F94)/17.4&lt;1,(H94-F94)/17.4,"")</f>
        <v/>
      </c>
      <c r="M94" s="6" t="str">
        <f aca="false">IF(ABS(J94)/1.58&lt;1,J94/1.58/1.58,"")</f>
        <v/>
      </c>
      <c r="N94" s="6" t="str">
        <f aca="false">IF(OR(L94="",M94=""),"",ABS(L94)+ABS(M94))</f>
        <v/>
      </c>
      <c r="O94" s="3" t="str">
        <f aca="false">IF(OR(L94="",M94=""),"","SE?")</f>
        <v/>
      </c>
    </row>
    <row r="95" customFormat="false" ht="17" hidden="false" customHeight="true" outlineLevel="0" collapsed="false">
      <c r="C95" s="2" t="n">
        <f aca="false">L__B!$C$95</f>
        <v>4</v>
      </c>
      <c r="D95" s="2" t="n">
        <f aca="false">L__B!$D$95</f>
        <v>4</v>
      </c>
      <c r="E95" s="102" t="n">
        <f aca="false">L__B!$E$95</f>
        <v>94</v>
      </c>
      <c r="F95" s="103" t="n">
        <f aca="false">calc!$AN$95</f>
        <v>12.3010383203382</v>
      </c>
      <c r="G95" s="103" t="n">
        <f aca="false">IF(ABS(F95-F94)&lt;100,F95,"")</f>
        <v>12.3010383203382</v>
      </c>
      <c r="H95" s="16" t="n">
        <f aca="false">calc!$X$95</f>
        <v>46.2211080621056</v>
      </c>
      <c r="I95" s="104" t="n">
        <f aca="false">IF(ABS(H95-H94)&lt;100,H95,"")</f>
        <v>46.2211080621056</v>
      </c>
      <c r="J95" s="6" t="n">
        <f aca="false">calc!$Z$95</f>
        <v>-0.607880157753333</v>
      </c>
      <c r="K95" s="16" t="n">
        <f aca="false">10*J95</f>
        <v>-6.07880157753333</v>
      </c>
      <c r="L95" s="6" t="str">
        <f aca="false">IF(ABS(H95-F95)/17.4&lt;1,(H95-F95)/17.4,"")</f>
        <v/>
      </c>
      <c r="M95" s="6" t="n">
        <f aca="false">IF(ABS(J95)/1.58&lt;1,J95/1.58/1.58,"")</f>
        <v>-0.243502706999412</v>
      </c>
      <c r="N95" s="6" t="str">
        <f aca="false">IF(OR(L95="",M95=""),"",ABS(L95)+ABS(M95))</f>
        <v/>
      </c>
      <c r="O95" s="3" t="str">
        <f aca="false">IF(OR(L95="",M95=""),"","SE?")</f>
        <v/>
      </c>
    </row>
    <row r="96" customFormat="false" ht="17" hidden="false" customHeight="true" outlineLevel="0" collapsed="false">
      <c r="C96" s="2" t="n">
        <f aca="false">L__B!$C$96</f>
        <v>5</v>
      </c>
      <c r="D96" s="2" t="n">
        <f aca="false">L__B!$D$96</f>
        <v>4</v>
      </c>
      <c r="E96" s="102" t="n">
        <f aca="false">L__B!$E$96</f>
        <v>95</v>
      </c>
      <c r="F96" s="103" t="n">
        <f aca="false">calc!$AN$96</f>
        <v>13.2866856841374</v>
      </c>
      <c r="G96" s="103" t="n">
        <f aca="false">IF(ABS(F96-F95)&lt;100,F96,"")</f>
        <v>13.2866856841374</v>
      </c>
      <c r="H96" s="16" t="n">
        <f aca="false">calc!$X$96</f>
        <v>58.4268293492726</v>
      </c>
      <c r="I96" s="104" t="n">
        <f aca="false">IF(ABS(H96-H95)&lt;100,H96,"")</f>
        <v>58.4268293492726</v>
      </c>
      <c r="J96" s="6" t="n">
        <f aca="false">calc!$Z$96</f>
        <v>0.499840617095038</v>
      </c>
      <c r="K96" s="16" t="n">
        <f aca="false">10*J96</f>
        <v>4.99840617095038</v>
      </c>
      <c r="L96" s="6" t="str">
        <f aca="false">IF(ABS(H96-F96)/17.4&lt;1,(H96-F96)/17.4,"")</f>
        <v/>
      </c>
      <c r="M96" s="6" t="n">
        <f aca="false">IF(ABS(J96)/1.58&lt;1,J96/1.58/1.58,"")</f>
        <v>0.200224570219131</v>
      </c>
      <c r="N96" s="6" t="str">
        <f aca="false">IF(OR(L96="",M96=""),"",ABS(L96)+ABS(M96))</f>
        <v/>
      </c>
      <c r="O96" s="3" t="str">
        <f aca="false">IF(OR(L96="",M96=""),"","SE?")</f>
        <v/>
      </c>
    </row>
    <row r="97" customFormat="false" ht="17" hidden="false" customHeight="true" outlineLevel="0" collapsed="false">
      <c r="C97" s="2" t="n">
        <f aca="false">L__B!$C$97</f>
        <v>6</v>
      </c>
      <c r="D97" s="2" t="n">
        <f aca="false">L__B!$D$97</f>
        <v>4</v>
      </c>
      <c r="E97" s="102" t="n">
        <f aca="false">L__B!$E$97</f>
        <v>96</v>
      </c>
      <c r="F97" s="103" t="n">
        <f aca="false">calc!$AN$97</f>
        <v>14.2723330479384</v>
      </c>
      <c r="G97" s="103" t="n">
        <f aca="false">IF(ABS(F97-F96)&lt;100,F97,"")</f>
        <v>14.2723330479384</v>
      </c>
      <c r="H97" s="16" t="n">
        <f aca="false">calc!$X$97</f>
        <v>70.4389135864027</v>
      </c>
      <c r="I97" s="104" t="n">
        <f aca="false">IF(ABS(H97-H96)&lt;100,H97,"")</f>
        <v>70.4389135864027</v>
      </c>
      <c r="J97" s="6" t="n">
        <f aca="false">calc!$Z$97</f>
        <v>1.57020305694761</v>
      </c>
      <c r="K97" s="16" t="n">
        <f aca="false">10*J97</f>
        <v>15.7020305694761</v>
      </c>
      <c r="L97" s="6" t="str">
        <f aca="false">IF(ABS(H97-F97)/17.4&lt;1,(H97-F97)/17.4,"")</f>
        <v/>
      </c>
      <c r="M97" s="6" t="n">
        <f aca="false">IF(ABS(J97)/1.58&lt;1,J97/1.58/1.58,"")</f>
        <v>0.628986964007214</v>
      </c>
      <c r="N97" s="6" t="str">
        <f aca="false">IF(OR(L97="",M97=""),"",ABS(L97)+ABS(M97))</f>
        <v/>
      </c>
      <c r="O97" s="3" t="str">
        <f aca="false">IF(OR(L97="",M97=""),"","SE?")</f>
        <v/>
      </c>
    </row>
    <row r="98" customFormat="false" ht="17" hidden="false" customHeight="true" outlineLevel="0" collapsed="false">
      <c r="C98" s="2" t="n">
        <f aca="false">L__B!$C$98</f>
        <v>7</v>
      </c>
      <c r="D98" s="2" t="n">
        <f aca="false">L__B!$D$98</f>
        <v>4</v>
      </c>
      <c r="E98" s="102" t="n">
        <f aca="false">L__B!$E$98</f>
        <v>97</v>
      </c>
      <c r="F98" s="103" t="n">
        <f aca="false">calc!$AN$98</f>
        <v>15.257980411734</v>
      </c>
      <c r="G98" s="103" t="n">
        <f aca="false">IF(ABS(F98-F97)&lt;100,F98,"")</f>
        <v>15.257980411734</v>
      </c>
      <c r="H98" s="16" t="n">
        <f aca="false">calc!$X$98</f>
        <v>82.3249376839957</v>
      </c>
      <c r="I98" s="104" t="n">
        <f aca="false">IF(ABS(H98-H97)&lt;100,H98,"")</f>
        <v>82.3249376839957</v>
      </c>
      <c r="J98" s="6" t="n">
        <f aca="false">calc!$Z$98</f>
        <v>2.56217095498147</v>
      </c>
      <c r="K98" s="16" t="n">
        <f aca="false">10*J98</f>
        <v>25.6217095498147</v>
      </c>
      <c r="L98" s="6" t="str">
        <f aca="false">IF(ABS(H98-F98)/17.4&lt;1,(H98-F98)/17.4,"")</f>
        <v/>
      </c>
      <c r="M98" s="6" t="str">
        <f aca="false">IF(ABS(J98)/1.58&lt;1,J98/1.58/1.58,"")</f>
        <v/>
      </c>
      <c r="N98" s="6" t="str">
        <f aca="false">IF(OR(L98="",M98=""),"",ABS(L98)+ABS(M98))</f>
        <v/>
      </c>
      <c r="O98" s="3" t="str">
        <f aca="false">IF(OR(L98="",M98=""),"","SE?")</f>
        <v/>
      </c>
    </row>
    <row r="99" customFormat="false" ht="17" hidden="false" customHeight="true" outlineLevel="0" collapsed="false">
      <c r="C99" s="2" t="n">
        <f aca="false">L__B!$C$99</f>
        <v>8</v>
      </c>
      <c r="D99" s="2" t="n">
        <f aca="false">L__B!$D$99</f>
        <v>4</v>
      </c>
      <c r="E99" s="102" t="n">
        <f aca="false">L__B!$E$99</f>
        <v>98</v>
      </c>
      <c r="F99" s="103" t="n">
        <f aca="false">calc!$AN$99</f>
        <v>16.2436277755387</v>
      </c>
      <c r="G99" s="103" t="n">
        <f aca="false">IF(ABS(F99-F98)&lt;100,F99,"")</f>
        <v>16.2436277755387</v>
      </c>
      <c r="H99" s="16" t="n">
        <f aca="false">calc!$X$99</f>
        <v>94.1597555804242</v>
      </c>
      <c r="I99" s="104" t="n">
        <f aca="false">IF(ABS(H99-H98)&lt;100,H99,"")</f>
        <v>94.1597555804242</v>
      </c>
      <c r="J99" s="6" t="n">
        <f aca="false">calc!$Z$99</f>
        <v>3.44001408879926</v>
      </c>
      <c r="K99" s="16" t="n">
        <f aca="false">10*J99</f>
        <v>34.4001408879926</v>
      </c>
      <c r="L99" s="6" t="str">
        <f aca="false">IF(ABS(H99-F99)/17.4&lt;1,(H99-F99)/17.4,"")</f>
        <v/>
      </c>
      <c r="M99" s="6" t="str">
        <f aca="false">IF(ABS(J99)/1.58&lt;1,J99/1.58/1.58,"")</f>
        <v/>
      </c>
      <c r="N99" s="6" t="str">
        <f aca="false">IF(OR(L99="",M99=""),"",ABS(L99)+ABS(M99))</f>
        <v/>
      </c>
      <c r="O99" s="3" t="str">
        <f aca="false">IF(OR(L99="",M99=""),"","SE?")</f>
        <v/>
      </c>
    </row>
    <row r="100" customFormat="false" ht="17" hidden="false" customHeight="true" outlineLevel="0" collapsed="false">
      <c r="C100" s="2" t="n">
        <f aca="false">L__B!$C$100</f>
        <v>9</v>
      </c>
      <c r="D100" s="2" t="n">
        <f aca="false">L__B!$D$100</f>
        <v>4</v>
      </c>
      <c r="E100" s="102" t="n">
        <f aca="false">L__B!$E$100</f>
        <v>99</v>
      </c>
      <c r="F100" s="103" t="n">
        <f aca="false">calc!$AN$100</f>
        <v>17.2292751393397</v>
      </c>
      <c r="G100" s="103" t="n">
        <f aca="false">IF(ABS(F100-F99)&lt;100,F100,"")</f>
        <v>17.2292751393397</v>
      </c>
      <c r="H100" s="16" t="n">
        <f aca="false">calc!$X$100</f>
        <v>106.021519454029</v>
      </c>
      <c r="I100" s="104" t="n">
        <f aca="false">IF(ABS(H100-H99)&lt;100,H100,"")</f>
        <v>106.021519454029</v>
      </c>
      <c r="J100" s="6" t="n">
        <f aca="false">calc!$Z$100</f>
        <v>4.17203543658165</v>
      </c>
      <c r="K100" s="16" t="n">
        <f aca="false">10*J100</f>
        <v>41.7203543658166</v>
      </c>
      <c r="L100" s="6" t="str">
        <f aca="false">IF(ABS(H100-F100)/17.4&lt;1,(H100-F100)/17.4,"")</f>
        <v/>
      </c>
      <c r="M100" s="6" t="str">
        <f aca="false">IF(ABS(J100)/1.58&lt;1,J100/1.58/1.58,"")</f>
        <v/>
      </c>
      <c r="N100" s="6" t="str">
        <f aca="false">IF(OR(L100="",M100=""),"",ABS(L100)+ABS(M100))</f>
        <v/>
      </c>
      <c r="O100" s="3" t="str">
        <f aca="false">IF(OR(L100="",M100=""),"","SE?")</f>
        <v/>
      </c>
    </row>
    <row r="101" customFormat="false" ht="17" hidden="false" customHeight="true" outlineLevel="0" collapsed="false">
      <c r="C101" s="2" t="n">
        <f aca="false">L__B!$C$101</f>
        <v>10</v>
      </c>
      <c r="D101" s="2" t="n">
        <f aca="false">L__B!$D$101</f>
        <v>4</v>
      </c>
      <c r="E101" s="102" t="n">
        <f aca="false">L__B!$E$101</f>
        <v>100</v>
      </c>
      <c r="F101" s="103" t="n">
        <f aca="false">calc!$AN$101</f>
        <v>18.2149225031408</v>
      </c>
      <c r="G101" s="103" t="n">
        <f aca="false">IF(ABS(F101-F100)&lt;100,F101,"")</f>
        <v>18.2149225031408</v>
      </c>
      <c r="H101" s="16" t="n">
        <f aca="false">calc!$X$101</f>
        <v>117.989106130608</v>
      </c>
      <c r="I101" s="104" t="n">
        <f aca="false">IF(ABS(H101-H100)&lt;100,H101,"")</f>
        <v>117.989106130608</v>
      </c>
      <c r="J101" s="6" t="n">
        <f aca="false">calc!$Z$101</f>
        <v>4.72933179969381</v>
      </c>
      <c r="K101" s="16" t="n">
        <f aca="false">10*J101</f>
        <v>47.293317996938</v>
      </c>
      <c r="L101" s="6" t="str">
        <f aca="false">IF(ABS(H101-F101)/17.4&lt;1,(H101-F101)/17.4,"")</f>
        <v/>
      </c>
      <c r="M101" s="6" t="str">
        <f aca="false">IF(ABS(J101)/1.58&lt;1,J101/1.58/1.58,"")</f>
        <v/>
      </c>
      <c r="N101" s="6" t="str">
        <f aca="false">IF(OR(L101="",M101=""),"",ABS(L101)+ABS(M101))</f>
        <v/>
      </c>
      <c r="O101" s="3" t="str">
        <f aca="false">IF(OR(L101="",M101=""),"","SE?")</f>
        <v/>
      </c>
    </row>
    <row r="102" customFormat="false" ht="17" hidden="false" customHeight="true" outlineLevel="0" collapsed="false">
      <c r="C102" s="2" t="n">
        <f aca="false">L__B!$C$102</f>
        <v>11</v>
      </c>
      <c r="D102" s="2" t="n">
        <f aca="false">L__B!$D$102</f>
        <v>4</v>
      </c>
      <c r="E102" s="102" t="n">
        <f aca="false">L__B!$E$102</f>
        <v>101</v>
      </c>
      <c r="F102" s="103" t="n">
        <f aca="false">calc!$AN$102</f>
        <v>19.20056986694</v>
      </c>
      <c r="G102" s="103" t="n">
        <f aca="false">IF(ABS(F102-F101)&lt;100,F102,"")</f>
        <v>19.20056986694</v>
      </c>
      <c r="H102" s="16" t="n">
        <f aca="false">calc!$X$102</f>
        <v>130.139768960403</v>
      </c>
      <c r="I102" s="104" t="n">
        <f aca="false">IF(ABS(H102-H101)&lt;100,H102,"")</f>
        <v>130.139768960403</v>
      </c>
      <c r="J102" s="6" t="n">
        <f aca="false">calc!$Z$102</f>
        <v>5.08490923494663</v>
      </c>
      <c r="K102" s="16" t="n">
        <f aca="false">10*J102</f>
        <v>50.8490923494663</v>
      </c>
      <c r="L102" s="6" t="str">
        <f aca="false">IF(ABS(H102-F102)/17.4&lt;1,(H102-F102)/17.4,"")</f>
        <v/>
      </c>
      <c r="M102" s="6" t="str">
        <f aca="false">IF(ABS(J102)/1.58&lt;1,J102/1.58/1.58,"")</f>
        <v/>
      </c>
      <c r="N102" s="6" t="str">
        <f aca="false">IF(OR(L102="",M102=""),"",ABS(L102)+ABS(M102))</f>
        <v/>
      </c>
      <c r="O102" s="3" t="str">
        <f aca="false">IF(OR(L102="",M102=""),"","SE?")</f>
        <v/>
      </c>
    </row>
    <row r="103" customFormat="false" ht="17" hidden="false" customHeight="true" outlineLevel="0" collapsed="false">
      <c r="C103" s="2" t="n">
        <f aca="false">L__B!$C$103</f>
        <v>12</v>
      </c>
      <c r="D103" s="2" t="n">
        <f aca="false">L__B!$D$103</f>
        <v>4</v>
      </c>
      <c r="E103" s="102" t="n">
        <f aca="false">L__B!$E$103</f>
        <v>102</v>
      </c>
      <c r="F103" s="103" t="n">
        <f aca="false">calc!$AN$103</f>
        <v>20.1862172307428</v>
      </c>
      <c r="G103" s="103" t="n">
        <f aca="false">IF(ABS(F103-F102)&lt;100,F103,"")</f>
        <v>20.1862172307428</v>
      </c>
      <c r="H103" s="16" t="n">
        <f aca="false">calc!$X$103</f>
        <v>142.545549061014</v>
      </c>
      <c r="I103" s="104" t="n">
        <f aca="false">IF(ABS(H103-H102)&lt;100,H103,"")</f>
        <v>142.545549061014</v>
      </c>
      <c r="J103" s="6" t="n">
        <f aca="false">calc!$Z$103</f>
        <v>5.21360576761545</v>
      </c>
      <c r="K103" s="16" t="n">
        <f aca="false">10*J103</f>
        <v>52.1360576761545</v>
      </c>
      <c r="L103" s="6" t="str">
        <f aca="false">IF(ABS(H103-F103)/17.4&lt;1,(H103-F103)/17.4,"")</f>
        <v/>
      </c>
      <c r="M103" s="6" t="str">
        <f aca="false">IF(ABS(J103)/1.58&lt;1,J103/1.58/1.58,"")</f>
        <v/>
      </c>
      <c r="N103" s="6" t="str">
        <f aca="false">IF(OR(L103="",M103=""),"",ABS(L103)+ABS(M103))</f>
        <v/>
      </c>
      <c r="O103" s="3" t="str">
        <f aca="false">IF(OR(L103="",M103=""),"","SE?")</f>
        <v/>
      </c>
    </row>
    <row r="104" customFormat="false" ht="17" hidden="false" customHeight="true" outlineLevel="0" collapsed="false">
      <c r="C104" s="2" t="n">
        <f aca="false">L__B!$C$104</f>
        <v>13</v>
      </c>
      <c r="D104" s="2" t="n">
        <f aca="false">L__B!$D$104</f>
        <v>4</v>
      </c>
      <c r="E104" s="102" t="n">
        <f aca="false">L__B!$E$104</f>
        <v>103</v>
      </c>
      <c r="F104" s="103" t="n">
        <f aca="false">calc!$AN$104</f>
        <v>21.1718645945457</v>
      </c>
      <c r="G104" s="103" t="n">
        <f aca="false">IF(ABS(F104-F103)&lt;100,F104,"")</f>
        <v>21.1718645945457</v>
      </c>
      <c r="H104" s="16" t="n">
        <f aca="false">calc!$X$104</f>
        <v>155.267557917593</v>
      </c>
      <c r="I104" s="104" t="n">
        <f aca="false">IF(ABS(H104-H103)&lt;100,H104,"")</f>
        <v>155.267557917593</v>
      </c>
      <c r="J104" s="6" t="n">
        <f aca="false">calc!$Z$104</f>
        <v>5.09346702766524</v>
      </c>
      <c r="K104" s="16" t="n">
        <f aca="false">10*J104</f>
        <v>50.9346702766524</v>
      </c>
      <c r="L104" s="6" t="str">
        <f aca="false">IF(ABS(H104-F104)/17.4&lt;1,(H104-F104)/17.4,"")</f>
        <v/>
      </c>
      <c r="M104" s="6" t="str">
        <f aca="false">IF(ABS(J104)/1.58&lt;1,J104/1.58/1.58,"")</f>
        <v/>
      </c>
      <c r="N104" s="6" t="str">
        <f aca="false">IF(OR(L104="",M104=""),"",ABS(L104)+ABS(M104))</f>
        <v/>
      </c>
      <c r="O104" s="3" t="str">
        <f aca="false">IF(OR(L104="",M104=""),"","SE?")</f>
        <v/>
      </c>
    </row>
    <row r="105" customFormat="false" ht="17" hidden="false" customHeight="true" outlineLevel="0" collapsed="false">
      <c r="C105" s="2" t="n">
        <f aca="false">L__B!$C$105</f>
        <v>14</v>
      </c>
      <c r="D105" s="2" t="n">
        <f aca="false">L__B!$D$105</f>
        <v>4</v>
      </c>
      <c r="E105" s="102" t="n">
        <f aca="false">L__B!$E$105</f>
        <v>104</v>
      </c>
      <c r="F105" s="103" t="n">
        <f aca="false">calc!$AN$105</f>
        <v>22.1575119583486</v>
      </c>
      <c r="G105" s="103" t="n">
        <f aca="false">IF(ABS(F105-F104)&lt;100,F105,"")</f>
        <v>22.1575119583486</v>
      </c>
      <c r="H105" s="16" t="n">
        <f aca="false">calc!$X$105</f>
        <v>168.348448777633</v>
      </c>
      <c r="I105" s="104" t="n">
        <f aca="false">IF(ABS(H105-H104)&lt;100,H105,"")</f>
        <v>168.348448777633</v>
      </c>
      <c r="J105" s="6" t="n">
        <f aca="false">calc!$Z$105</f>
        <v>4.70916830984732</v>
      </c>
      <c r="K105" s="16" t="n">
        <f aca="false">10*J105</f>
        <v>47.0916830984732</v>
      </c>
      <c r="L105" s="6" t="str">
        <f aca="false">IF(ABS(H105-F105)/17.4&lt;1,(H105-F105)/17.4,"")</f>
        <v/>
      </c>
      <c r="M105" s="6" t="str">
        <f aca="false">IF(ABS(J105)/1.58&lt;1,J105/1.58/1.58,"")</f>
        <v/>
      </c>
      <c r="N105" s="6" t="str">
        <f aca="false">IF(OR(L105="",M105=""),"",ABS(L105)+ABS(M105))</f>
        <v/>
      </c>
      <c r="O105" s="3" t="str">
        <f aca="false">IF(OR(L105="",M105=""),"","SE?")</f>
        <v/>
      </c>
    </row>
    <row r="106" customFormat="false" ht="17" hidden="false" customHeight="true" outlineLevel="0" collapsed="false">
      <c r="C106" s="2" t="n">
        <f aca="false">L__B!$C$106</f>
        <v>15</v>
      </c>
      <c r="D106" s="2" t="n">
        <f aca="false">L__B!$D$106</f>
        <v>4</v>
      </c>
      <c r="E106" s="102" t="n">
        <f aca="false">L__B!$E$106</f>
        <v>105</v>
      </c>
      <c r="F106" s="103" t="n">
        <f aca="false">calc!$AN$106</f>
        <v>23.1431593221514</v>
      </c>
      <c r="G106" s="103" t="n">
        <f aca="false">IF(ABS(F106-F105)&lt;100,F106,"")</f>
        <v>23.1431593221514</v>
      </c>
      <c r="H106" s="16" t="n">
        <f aca="false">calc!$X$106</f>
        <v>181.804696673612</v>
      </c>
      <c r="I106" s="104" t="n">
        <f aca="false">IF(ABS(H106-H105)&lt;100,H106,"")</f>
        <v>181.804696673612</v>
      </c>
      <c r="J106" s="6" t="n">
        <f aca="false">calc!$Z$106</f>
        <v>4.05750423222209</v>
      </c>
      <c r="K106" s="16" t="n">
        <f aca="false">10*J106</f>
        <v>40.5750423222209</v>
      </c>
      <c r="L106" s="6" t="str">
        <f aca="false">IF(ABS(H106-F106)/17.4&lt;1,(H106-F106)/17.4,"")</f>
        <v/>
      </c>
      <c r="M106" s="6" t="str">
        <f aca="false">IF(ABS(J106)/1.58&lt;1,J106/1.58/1.58,"")</f>
        <v/>
      </c>
      <c r="N106" s="6" t="str">
        <f aca="false">IF(OR(L106="",M106=""),"",ABS(L106)+ABS(M106))</f>
        <v/>
      </c>
      <c r="O106" s="3" t="str">
        <f aca="false">IF(OR(L106="",M106=""),"","SE?")</f>
        <v/>
      </c>
    </row>
    <row r="107" customFormat="false" ht="17" hidden="false" customHeight="true" outlineLevel="0" collapsed="false">
      <c r="C107" s="2" t="n">
        <f aca="false">L__B!$C$107</f>
        <v>16</v>
      </c>
      <c r="D107" s="2" t="n">
        <f aca="false">L__B!$D$107</f>
        <v>4</v>
      </c>
      <c r="E107" s="102" t="n">
        <f aca="false">L__B!$E$107</f>
        <v>106</v>
      </c>
      <c r="F107" s="103" t="n">
        <f aca="false">calc!$AN$107</f>
        <v>24.1288066859543</v>
      </c>
      <c r="G107" s="103" t="n">
        <f aca="false">IF(ABS(F107-F106)&lt;100,F107,"")</f>
        <v>24.1288066859543</v>
      </c>
      <c r="H107" s="16" t="n">
        <f aca="false">calc!$X$107</f>
        <v>195.621105335002</v>
      </c>
      <c r="I107" s="104" t="n">
        <f aca="false">IF(ABS(H107-H106)&lt;100,H107,"")</f>
        <v>195.621105335002</v>
      </c>
      <c r="J107" s="6" t="n">
        <f aca="false">calc!$Z$107</f>
        <v>3.15386681327253</v>
      </c>
      <c r="K107" s="16" t="n">
        <f aca="false">10*J107</f>
        <v>31.5386681327253</v>
      </c>
      <c r="L107" s="6" t="str">
        <f aca="false">IF(ABS(H107-F107)/17.4&lt;1,(H107-F107)/17.4,"")</f>
        <v/>
      </c>
      <c r="M107" s="6" t="str">
        <f aca="false">IF(ABS(J107)/1.58&lt;1,J107/1.58/1.58,"")</f>
        <v/>
      </c>
      <c r="N107" s="6" t="str">
        <f aca="false">IF(OR(L107="",M107=""),"",ABS(L107)+ABS(M107))</f>
        <v/>
      </c>
      <c r="O107" s="3" t="str">
        <f aca="false">IF(OR(L107="",M107=""),"","SE?")</f>
        <v/>
      </c>
    </row>
    <row r="108" customFormat="false" ht="17" hidden="false" customHeight="true" outlineLevel="0" collapsed="false">
      <c r="C108" s="2" t="n">
        <f aca="false">L__B!$C$108</f>
        <v>17</v>
      </c>
      <c r="D108" s="2" t="n">
        <f aca="false">L__B!$D$108</f>
        <v>4</v>
      </c>
      <c r="E108" s="102" t="n">
        <f aca="false">L__B!$E$108</f>
        <v>107</v>
      </c>
      <c r="F108" s="103" t="n">
        <f aca="false">calc!$AN$108</f>
        <v>25.1144540497608</v>
      </c>
      <c r="G108" s="103" t="n">
        <f aca="false">IF(ABS(F108-F107)&lt;100,F108,"")</f>
        <v>25.1144540497608</v>
      </c>
      <c r="H108" s="16" t="n">
        <f aca="false">calc!$X$108</f>
        <v>209.749838457252</v>
      </c>
      <c r="I108" s="104" t="n">
        <f aca="false">IF(ABS(H108-H107)&lt;100,H108,"")</f>
        <v>209.749838457252</v>
      </c>
      <c r="J108" s="6" t="n">
        <f aca="false">calc!$Z$108</f>
        <v>2.03744222877152</v>
      </c>
      <c r="K108" s="16" t="n">
        <f aca="false">10*J108</f>
        <v>20.3744222877152</v>
      </c>
      <c r="L108" s="6" t="str">
        <f aca="false">IF(ABS(H108-F108)/17.4&lt;1,(H108-F108)/17.4,"")</f>
        <v/>
      </c>
      <c r="M108" s="6" t="str">
        <f aca="false">IF(ABS(J108)/1.58&lt;1,J108/1.58/1.58,"")</f>
        <v/>
      </c>
      <c r="N108" s="6" t="str">
        <f aca="false">IF(OR(L108="",M108=""),"",ABS(L108)+ABS(M108))</f>
        <v/>
      </c>
      <c r="O108" s="3" t="str">
        <f aca="false">IF(OR(L108="",M108=""),"","SE?")</f>
        <v/>
      </c>
    </row>
    <row r="109" customFormat="false" ht="17" hidden="false" customHeight="true" outlineLevel="0" collapsed="false">
      <c r="C109" s="2" t="n">
        <f aca="false">L__B!$C$109</f>
        <v>18</v>
      </c>
      <c r="D109" s="2" t="n">
        <f aca="false">L__B!$D$109</f>
        <v>4</v>
      </c>
      <c r="E109" s="102" t="n">
        <f aca="false">L__B!$E$109</f>
        <v>108</v>
      </c>
      <c r="F109" s="103" t="n">
        <f aca="false">calc!$AN$109</f>
        <v>26.1001014135654</v>
      </c>
      <c r="G109" s="103" t="n">
        <f aca="false">IF(ABS(F109-F108)&lt;100,F109,"")</f>
        <v>26.1001014135654</v>
      </c>
      <c r="H109" s="16" t="n">
        <f aca="false">calc!$X$109</f>
        <v>224.115186061345</v>
      </c>
      <c r="I109" s="104" t="n">
        <f aca="false">IF(ABS(H109-H108)&lt;100,H109,"")</f>
        <v>224.115186061345</v>
      </c>
      <c r="J109" s="6" t="n">
        <f aca="false">calc!$Z$109</f>
        <v>0.772384657771954</v>
      </c>
      <c r="K109" s="16" t="n">
        <f aca="false">10*J109</f>
        <v>7.72384657771954</v>
      </c>
      <c r="L109" s="6" t="str">
        <f aca="false">IF(ABS(H109-F109)/17.4&lt;1,(H109-F109)/17.4,"")</f>
        <v/>
      </c>
      <c r="M109" s="6" t="n">
        <f aca="false">IF(ABS(J109)/1.58&lt;1,J109/1.58/1.58,"")</f>
        <v>0.30939939824225</v>
      </c>
      <c r="N109" s="6" t="str">
        <f aca="false">IF(OR(L109="",M109=""),"",ABS(L109)+ABS(M109))</f>
        <v/>
      </c>
      <c r="O109" s="3" t="str">
        <f aca="false">IF(OR(L109="",M109=""),"","SE?")</f>
        <v/>
      </c>
    </row>
    <row r="110" customFormat="false" ht="17" hidden="false" customHeight="true" outlineLevel="0" collapsed="false">
      <c r="C110" s="2" t="n">
        <f aca="false">L__B!$C$110</f>
        <v>19</v>
      </c>
      <c r="D110" s="2" t="n">
        <f aca="false">L__B!$D$110</f>
        <v>4</v>
      </c>
      <c r="E110" s="102" t="n">
        <f aca="false">L__B!$E$110</f>
        <v>109</v>
      </c>
      <c r="F110" s="103" t="n">
        <f aca="false">calc!$AN$110</f>
        <v>27.0857487773701</v>
      </c>
      <c r="G110" s="103" t="n">
        <f aca="false">IF(ABS(F110-F109)&lt;100,F110,"")</f>
        <v>27.0857487773701</v>
      </c>
      <c r="H110" s="16" t="n">
        <f aca="false">calc!$X$110</f>
        <v>238.623578387258</v>
      </c>
      <c r="I110" s="104" t="n">
        <f aca="false">IF(ABS(H110-H109)&lt;100,H110,"")</f>
        <v>238.623578387258</v>
      </c>
      <c r="J110" s="6" t="n">
        <f aca="false">calc!$Z$110</f>
        <v>-0.556835312343933</v>
      </c>
      <c r="K110" s="16" t="n">
        <f aca="false">10*J110</f>
        <v>-5.56835312343933</v>
      </c>
      <c r="L110" s="6" t="str">
        <f aca="false">IF(ABS(H110-F110)/17.4&lt;1,(H110-F110)/17.4,"")</f>
        <v/>
      </c>
      <c r="M110" s="6" t="n">
        <f aca="false">IF(ABS(J110)/1.58&lt;1,J110/1.58/1.58,"")</f>
        <v>-0.223055324605005</v>
      </c>
      <c r="N110" s="6" t="str">
        <f aca="false">IF(OR(L110="",M110=""),"",ABS(L110)+ABS(M110))</f>
        <v/>
      </c>
      <c r="O110" s="3" t="str">
        <f aca="false">IF(OR(L110="",M110=""),"","SE?")</f>
        <v/>
      </c>
    </row>
    <row r="111" customFormat="false" ht="17" hidden="false" customHeight="true" outlineLevel="0" collapsed="false">
      <c r="C111" s="2" t="n">
        <f aca="false">L__B!$C$111</f>
        <v>20</v>
      </c>
      <c r="D111" s="2" t="n">
        <f aca="false">L__B!$D$111</f>
        <v>4</v>
      </c>
      <c r="E111" s="102" t="n">
        <f aca="false">L__B!$E$111</f>
        <v>110</v>
      </c>
      <c r="F111" s="103" t="n">
        <f aca="false">calc!$AN$111</f>
        <v>28.0713961411748</v>
      </c>
      <c r="G111" s="103" t="n">
        <f aca="false">IF(ABS(F111-F110)&lt;100,F111,"")</f>
        <v>28.0713961411748</v>
      </c>
      <c r="H111" s="16" t="n">
        <f aca="false">calc!$X$111</f>
        <v>253.176672422939</v>
      </c>
      <c r="I111" s="104" t="n">
        <f aca="false">IF(ABS(H111-H110)&lt;100,H111,"")</f>
        <v>253.176672422939</v>
      </c>
      <c r="J111" s="6" t="n">
        <f aca="false">calc!$Z$111</f>
        <v>-1.85547636217574</v>
      </c>
      <c r="K111" s="16" t="n">
        <f aca="false">10*J111</f>
        <v>-18.5547636217574</v>
      </c>
      <c r="L111" s="6" t="str">
        <f aca="false">IF(ABS(H111-F111)/17.4&lt;1,(H111-F111)/17.4,"")</f>
        <v/>
      </c>
      <c r="M111" s="6" t="str">
        <f aca="false">IF(ABS(J111)/1.58&lt;1,J111/1.58/1.58,"")</f>
        <v/>
      </c>
      <c r="N111" s="6" t="str">
        <f aca="false">IF(OR(L111="",M111=""),"",ABS(L111)+ABS(M111))</f>
        <v/>
      </c>
      <c r="O111" s="3" t="str">
        <f aca="false">IF(OR(L111="",M111=""),"","SE?")</f>
        <v/>
      </c>
    </row>
    <row r="112" customFormat="false" ht="17" hidden="false" customHeight="true" outlineLevel="0" collapsed="false">
      <c r="C112" s="2" t="n">
        <f aca="false">L__B!$C$112</f>
        <v>21</v>
      </c>
      <c r="D112" s="2" t="n">
        <f aca="false">L__B!$D$112</f>
        <v>4</v>
      </c>
      <c r="E112" s="102" t="n">
        <f aca="false">L__B!$E$112</f>
        <v>111</v>
      </c>
      <c r="F112" s="103" t="n">
        <f aca="false">calc!$AN$112</f>
        <v>29.0570435049813</v>
      </c>
      <c r="G112" s="103" t="n">
        <f aca="false">IF(ABS(F112-F111)&lt;100,F112,"")</f>
        <v>29.0570435049813</v>
      </c>
      <c r="H112" s="16" t="n">
        <f aca="false">calc!$X$112</f>
        <v>267.684304751667</v>
      </c>
      <c r="I112" s="104" t="n">
        <f aca="false">IF(ABS(H112-H111)&lt;100,H112,"")</f>
        <v>267.684304751667</v>
      </c>
      <c r="J112" s="6" t="n">
        <f aca="false">calc!$Z$112</f>
        <v>-3.03116336050532</v>
      </c>
      <c r="K112" s="16" t="n">
        <f aca="false">10*J112</f>
        <v>-30.3116336050532</v>
      </c>
      <c r="L112" s="6" t="str">
        <f aca="false">IF(ABS(H112-F112)/17.4&lt;1,(H112-F112)/17.4,"")</f>
        <v/>
      </c>
      <c r="M112" s="6" t="str">
        <f aca="false">IF(ABS(J112)/1.58&lt;1,J112/1.58/1.58,"")</f>
        <v/>
      </c>
      <c r="N112" s="6" t="str">
        <f aca="false">IF(OR(L112="",M112=""),"",ABS(L112)+ABS(M112))</f>
        <v/>
      </c>
      <c r="O112" s="3" t="str">
        <f aca="false">IF(OR(L112="",M112=""),"","SE?")</f>
        <v/>
      </c>
    </row>
    <row r="113" customFormat="false" ht="17" hidden="false" customHeight="true" outlineLevel="0" collapsed="false">
      <c r="C113" s="2" t="n">
        <f aca="false">L__B!$C$113</f>
        <v>22</v>
      </c>
      <c r="D113" s="2" t="n">
        <f aca="false">L__B!$D$113</f>
        <v>4</v>
      </c>
      <c r="E113" s="102" t="n">
        <f aca="false">L__B!$E$113</f>
        <v>112</v>
      </c>
      <c r="F113" s="103" t="n">
        <f aca="false">calc!$AN$113</f>
        <v>30.0426908687859</v>
      </c>
      <c r="G113" s="103" t="n">
        <f aca="false">IF(ABS(F113-F112)&lt;100,F113,"")</f>
        <v>30.0426908687859</v>
      </c>
      <c r="H113" s="16" t="n">
        <f aca="false">calc!$X$113</f>
        <v>282.074137654908</v>
      </c>
      <c r="I113" s="104" t="n">
        <f aca="false">IF(ABS(H113-H112)&lt;100,H113,"")</f>
        <v>282.074137654908</v>
      </c>
      <c r="J113" s="6" t="n">
        <f aca="false">calc!$Z$113</f>
        <v>-4.00528767180807</v>
      </c>
      <c r="K113" s="16" t="n">
        <f aca="false">10*J113</f>
        <v>-40.0528767180807</v>
      </c>
      <c r="L113" s="6" t="str">
        <f aca="false">IF(ABS(H113-F113)/17.4&lt;1,(H113-F113)/17.4,"")</f>
        <v/>
      </c>
      <c r="M113" s="6" t="str">
        <f aca="false">IF(ABS(J113)/1.58&lt;1,J113/1.58/1.58,"")</f>
        <v/>
      </c>
      <c r="N113" s="6" t="str">
        <f aca="false">IF(OR(L113="",M113=""),"",ABS(L113)+ABS(M113))</f>
        <v/>
      </c>
      <c r="O113" s="3" t="str">
        <f aca="false">IF(OR(L113="",M113=""),"","SE?")</f>
        <v/>
      </c>
    </row>
    <row r="114" customFormat="false" ht="17" hidden="false" customHeight="true" outlineLevel="0" collapsed="false">
      <c r="C114" s="2" t="n">
        <f aca="false">L__B!$C$114</f>
        <v>23</v>
      </c>
      <c r="D114" s="2" t="n">
        <f aca="false">L__B!$D$114</f>
        <v>4</v>
      </c>
      <c r="E114" s="102" t="n">
        <f aca="false">L__B!$E$114</f>
        <v>113</v>
      </c>
      <c r="F114" s="103" t="n">
        <f aca="false">calc!$AN$114</f>
        <v>31.0283382325943</v>
      </c>
      <c r="G114" s="103" t="n">
        <f aca="false">IF(ABS(F114-F113)&lt;100,F114,"")</f>
        <v>31.0283382325943</v>
      </c>
      <c r="H114" s="16" t="n">
        <f aca="false">calc!$X$114</f>
        <v>296.295929581152</v>
      </c>
      <c r="I114" s="104" t="n">
        <f aca="false">IF(ABS(H114-H113)&lt;100,H114,"")</f>
        <v>296.295929581152</v>
      </c>
      <c r="J114" s="6" t="n">
        <f aca="false">calc!$Z$114</f>
        <v>-4.7202871215959</v>
      </c>
      <c r="K114" s="16" t="n">
        <f aca="false">10*J114</f>
        <v>-47.202871215959</v>
      </c>
      <c r="L114" s="6" t="str">
        <f aca="false">IF(ABS(H114-F114)/17.4&lt;1,(H114-F114)/17.4,"")</f>
        <v/>
      </c>
      <c r="M114" s="6" t="str">
        <f aca="false">IF(ABS(J114)/1.58&lt;1,J114/1.58/1.58,"")</f>
        <v/>
      </c>
      <c r="N114" s="6" t="str">
        <f aca="false">IF(OR(L114="",M114=""),"",ABS(L114)+ABS(M114))</f>
        <v/>
      </c>
      <c r="O114" s="3" t="str">
        <f aca="false">IF(OR(L114="",M114=""),"","SE?")</f>
        <v/>
      </c>
    </row>
    <row r="115" customFormat="false" ht="17" hidden="false" customHeight="true" outlineLevel="0" collapsed="false">
      <c r="C115" s="2" t="n">
        <f aca="false">L__B!$C$115</f>
        <v>24</v>
      </c>
      <c r="D115" s="2" t="n">
        <f aca="false">L__B!$D$115</f>
        <v>4</v>
      </c>
      <c r="E115" s="102" t="n">
        <f aca="false">L__B!$E$115</f>
        <v>114</v>
      </c>
      <c r="F115" s="103" t="n">
        <f aca="false">calc!$AN$115</f>
        <v>32.0139855964007</v>
      </c>
      <c r="G115" s="103" t="n">
        <f aca="false">IF(ABS(F115-F114)&lt;100,F115,"")</f>
        <v>32.0139855964007</v>
      </c>
      <c r="H115" s="16" t="n">
        <f aca="false">calc!$X$115</f>
        <v>310.320134092572</v>
      </c>
      <c r="I115" s="104" t="n">
        <f aca="false">IF(ABS(H115-H114)&lt;100,H115,"")</f>
        <v>310.320134092572</v>
      </c>
      <c r="J115" s="6" t="n">
        <f aca="false">calc!$Z$115</f>
        <v>-5.14208310654591</v>
      </c>
      <c r="K115" s="16" t="n">
        <f aca="false">10*J115</f>
        <v>-51.4208310654591</v>
      </c>
      <c r="L115" s="6" t="str">
        <f aca="false">IF(ABS(H115-F115)/17.4&lt;1,(H115-F115)/17.4,"")</f>
        <v/>
      </c>
      <c r="M115" s="6" t="str">
        <f aca="false">IF(ABS(J115)/1.58&lt;1,J115/1.58/1.58,"")</f>
        <v/>
      </c>
      <c r="N115" s="6" t="str">
        <f aca="false">IF(OR(L115="",M115=""),"",ABS(L115)+ABS(M115))</f>
        <v/>
      </c>
      <c r="O115" s="3" t="str">
        <f aca="false">IF(OR(L115="",M115=""),"","SE?")</f>
        <v/>
      </c>
    </row>
    <row r="116" customFormat="false" ht="17" hidden="false" customHeight="true" outlineLevel="0" collapsed="false">
      <c r="C116" s="2" t="n">
        <f aca="false">L__B!$C$116</f>
        <v>25</v>
      </c>
      <c r="D116" s="2" t="n">
        <f aca="false">L__B!$D$116</f>
        <v>4</v>
      </c>
      <c r="E116" s="102" t="n">
        <f aca="false">L__B!$E$116</f>
        <v>115</v>
      </c>
      <c r="F116" s="103" t="n">
        <f aca="false">calc!$AN$116</f>
        <v>32.9996329602109</v>
      </c>
      <c r="G116" s="103" t="n">
        <f aca="false">IF(ABS(F116-F115)&lt;100,F116,"")</f>
        <v>32.9996329602109</v>
      </c>
      <c r="H116" s="16" t="n">
        <f aca="false">calc!$X$116</f>
        <v>324.132320171007</v>
      </c>
      <c r="I116" s="104" t="n">
        <f aca="false">IF(ABS(H116-H115)&lt;100,H116,"")</f>
        <v>324.132320171007</v>
      </c>
      <c r="J116" s="6" t="n">
        <f aca="false">calc!$Z$116</f>
        <v>-5.25888351964038</v>
      </c>
      <c r="K116" s="16" t="n">
        <f aca="false">10*J116</f>
        <v>-52.5888351964038</v>
      </c>
      <c r="L116" s="6" t="str">
        <f aca="false">IF(ABS(H116-F116)/17.4&lt;1,(H116-F116)/17.4,"")</f>
        <v/>
      </c>
      <c r="M116" s="6" t="str">
        <f aca="false">IF(ABS(J116)/1.58&lt;1,J116/1.58/1.58,"")</f>
        <v/>
      </c>
      <c r="N116" s="6" t="str">
        <f aca="false">IF(OR(L116="",M116=""),"",ABS(L116)+ABS(M116))</f>
        <v/>
      </c>
      <c r="O116" s="3" t="str">
        <f aca="false">IF(OR(L116="",M116=""),"","SE?")</f>
        <v/>
      </c>
    </row>
    <row r="117" customFormat="false" ht="17" hidden="false" customHeight="true" outlineLevel="0" collapsed="false">
      <c r="C117" s="2" t="n">
        <f aca="false">L__B!$C$117</f>
        <v>26</v>
      </c>
      <c r="D117" s="2" t="n">
        <f aca="false">L__B!$D$117</f>
        <v>4</v>
      </c>
      <c r="E117" s="102" t="n">
        <f aca="false">L__B!$E$117</f>
        <v>116</v>
      </c>
      <c r="F117" s="103" t="n">
        <f aca="false">calc!$AN$117</f>
        <v>33.9852803240174</v>
      </c>
      <c r="G117" s="103" t="n">
        <f aca="false">IF(ABS(F117-F116)&lt;100,F117,"")</f>
        <v>33.9852803240174</v>
      </c>
      <c r="H117" s="16" t="n">
        <f aca="false">calc!$X$117</f>
        <v>337.726064092097</v>
      </c>
      <c r="I117" s="104" t="n">
        <f aca="false">IF(ABS(H117-H116)&lt;100,H117,"")</f>
        <v>337.726064092097</v>
      </c>
      <c r="J117" s="6" t="n">
        <f aca="false">calc!$Z$117</f>
        <v>-5.07826692813168</v>
      </c>
      <c r="K117" s="16" t="n">
        <f aca="false">10*J117</f>
        <v>-50.7826692813168</v>
      </c>
      <c r="L117" s="6" t="str">
        <f aca="false">IF(ABS(H117-F117)/17.4&lt;1,(H117-F117)/17.4,"")</f>
        <v/>
      </c>
      <c r="M117" s="6" t="str">
        <f aca="false">IF(ABS(J117)/1.58&lt;1,J117/1.58/1.58,"")</f>
        <v/>
      </c>
      <c r="N117" s="6" t="str">
        <f aca="false">IF(OR(L117="",M117=""),"",ABS(L117)+ABS(M117))</f>
        <v/>
      </c>
      <c r="O117" s="3" t="str">
        <f aca="false">IF(OR(L117="",M117=""),"","SE?")</f>
        <v/>
      </c>
    </row>
    <row r="118" customFormat="false" ht="17" hidden="false" customHeight="true" outlineLevel="0" collapsed="false">
      <c r="C118" s="2" t="n">
        <f aca="false">L__B!$C$118</f>
        <v>27</v>
      </c>
      <c r="D118" s="2" t="n">
        <f aca="false">L__B!$D$118</f>
        <v>4</v>
      </c>
      <c r="E118" s="102" t="n">
        <f aca="false">L__B!$E$118</f>
        <v>117</v>
      </c>
      <c r="F118" s="103" t="n">
        <f aca="false">calc!$AN$118</f>
        <v>34.9709276878275</v>
      </c>
      <c r="G118" s="103" t="n">
        <f aca="false">IF(ABS(F118-F117)&lt;100,F118,"")</f>
        <v>34.9709276878275</v>
      </c>
      <c r="H118" s="16" t="n">
        <f aca="false">calc!$X$118</f>
        <v>351.09709982939</v>
      </c>
      <c r="I118" s="104" t="n">
        <f aca="false">IF(ABS(H118-H117)&lt;100,H118,"")</f>
        <v>351.09709982939</v>
      </c>
      <c r="J118" s="6" t="n">
        <f aca="false">calc!$Z$118</f>
        <v>-4.62396460737025</v>
      </c>
      <c r="K118" s="16" t="n">
        <f aca="false">10*J118</f>
        <v>-46.2396460737025</v>
      </c>
      <c r="L118" s="6" t="str">
        <f aca="false">IF(ABS(H118-F118)/17.4&lt;1,(H118-F118)/17.4,"")</f>
        <v/>
      </c>
      <c r="M118" s="6" t="str">
        <f aca="false">IF(ABS(J118)/1.58&lt;1,J118/1.58/1.58,"")</f>
        <v/>
      </c>
      <c r="N118" s="6" t="str">
        <f aca="false">IF(OR(L118="",M118=""),"",ABS(L118)+ABS(M118))</f>
        <v/>
      </c>
      <c r="O118" s="3" t="str">
        <f aca="false">IF(OR(L118="",M118=""),"","SE?")</f>
        <v/>
      </c>
    </row>
    <row r="119" customFormat="false" ht="17" hidden="false" customHeight="true" outlineLevel="0" collapsed="false">
      <c r="C119" s="2" t="n">
        <f aca="false">L__B!$C$119</f>
        <v>28</v>
      </c>
      <c r="D119" s="2" t="n">
        <f aca="false">L__B!$D$119</f>
        <v>4</v>
      </c>
      <c r="E119" s="102" t="n">
        <f aca="false">L__B!$E$119</f>
        <v>118</v>
      </c>
      <c r="F119" s="103" t="n">
        <f aca="false">calc!$AN$119</f>
        <v>35.9565750516358</v>
      </c>
      <c r="G119" s="103" t="n">
        <f aca="false">IF(ABS(F119-F118)&lt;100,F119,"")</f>
        <v>35.9565750516358</v>
      </c>
      <c r="H119" s="16" t="n">
        <f aca="false">calc!$X$119</f>
        <v>4.24064604967548</v>
      </c>
      <c r="I119" s="104" t="str">
        <f aca="false">IF(ABS(H119-H118)&lt;100,H119,"")</f>
        <v/>
      </c>
      <c r="J119" s="6" t="n">
        <f aca="false">calc!$Z$119</f>
        <v>-3.9327825182659</v>
      </c>
      <c r="K119" s="16" t="n">
        <f aca="false">10*J119</f>
        <v>-39.327825182659</v>
      </c>
      <c r="L119" s="6" t="str">
        <f aca="false">IF(ABS(H119-F119)/17.4&lt;1,(H119-F119)/17.4,"")</f>
        <v/>
      </c>
      <c r="M119" s="6" t="str">
        <f aca="false">IF(ABS(J119)/1.58&lt;1,J119/1.58/1.58,"")</f>
        <v/>
      </c>
      <c r="N119" s="6" t="str">
        <f aca="false">IF(OR(L119="",M119=""),"",ABS(L119)+ABS(M119))</f>
        <v/>
      </c>
      <c r="O119" s="3" t="str">
        <f aca="false">IF(OR(L119="",M119=""),"","SE?")</f>
        <v/>
      </c>
    </row>
    <row r="120" customFormat="false" ht="17" hidden="false" customHeight="true" outlineLevel="0" collapsed="false">
      <c r="C120" s="2" t="n">
        <f aca="false">L__B!$C$120</f>
        <v>29</v>
      </c>
      <c r="D120" s="2" t="n">
        <f aca="false">L__B!$D$120</f>
        <v>4</v>
      </c>
      <c r="E120" s="102" t="n">
        <f aca="false">L__B!$E$120</f>
        <v>119</v>
      </c>
      <c r="F120" s="103" t="n">
        <f aca="false">calc!$AN$120</f>
        <v>36.9422224154478</v>
      </c>
      <c r="G120" s="103" t="n">
        <f aca="false">IF(ABS(F120-F119)&lt;100,F120,"")</f>
        <v>36.9422224154478</v>
      </c>
      <c r="H120" s="16" t="n">
        <f aca="false">calc!$X$120</f>
        <v>17.1523540765097</v>
      </c>
      <c r="I120" s="104" t="n">
        <f aca="false">IF(ABS(H120-H119)&lt;100,H120,"")</f>
        <v>17.1523540765097</v>
      </c>
      <c r="J120" s="6" t="n">
        <f aca="false">calc!$Z$120</f>
        <v>-3.05142645936851</v>
      </c>
      <c r="K120" s="16" t="n">
        <f aca="false">10*J120</f>
        <v>-30.5142645936851</v>
      </c>
      <c r="L120" s="6" t="str">
        <f aca="false">IF(ABS(H120-F120)/17.4&lt;1,(H120-F120)/17.4,"")</f>
        <v/>
      </c>
      <c r="M120" s="6" t="str">
        <f aca="false">IF(ABS(J120)/1.58&lt;1,J120/1.58/1.58,"")</f>
        <v/>
      </c>
      <c r="N120" s="6" t="str">
        <f aca="false">IF(OR(L120="",M120=""),"",ABS(L120)+ABS(M120))</f>
        <v/>
      </c>
      <c r="O120" s="3" t="str">
        <f aca="false">IF(OR(L120="",M120=""),"","SE?")</f>
        <v/>
      </c>
    </row>
    <row r="121" customFormat="false" ht="17" hidden="false" customHeight="true" outlineLevel="0" collapsed="false">
      <c r="C121" s="2" t="n">
        <f aca="false">L__B!$C$121</f>
        <v>30</v>
      </c>
      <c r="D121" s="2" t="n">
        <f aca="false">L__B!$D$121</f>
        <v>4</v>
      </c>
      <c r="E121" s="102" t="n">
        <f aca="false">L__B!$E$121</f>
        <v>120</v>
      </c>
      <c r="F121" s="103" t="n">
        <f aca="false">calc!$AN$121</f>
        <v>37.9278697792579</v>
      </c>
      <c r="G121" s="103" t="n">
        <f aca="false">IF(ABS(F121-F120)&lt;100,F121,"")</f>
        <v>37.9278697792579</v>
      </c>
      <c r="H121" s="16" t="n">
        <f aca="false">calc!$X$121</f>
        <v>29.8318569567601</v>
      </c>
      <c r="I121" s="104" t="n">
        <f aca="false">IF(ABS(H121-H120)&lt;100,H121,"")</f>
        <v>29.8318569567601</v>
      </c>
      <c r="J121" s="6" t="n">
        <f aca="false">calc!$Z$121</f>
        <v>-2.03294336775814</v>
      </c>
      <c r="K121" s="16" t="n">
        <f aca="false">10*J121</f>
        <v>-20.3294336775814</v>
      </c>
      <c r="L121" s="6" t="n">
        <f aca="false">IF(ABS(H121-F121)/17.4&lt;1,(H121-F121)/17.4,"")</f>
        <v>-0.465288093247002</v>
      </c>
      <c r="M121" s="6" t="str">
        <f aca="false">IF(ABS(J121)/1.58&lt;1,J121/1.58/1.58,"")</f>
        <v/>
      </c>
      <c r="N121" s="6" t="str">
        <f aca="false">IF(OR(L121="",M121=""),"",ABS(L121)+ABS(M121))</f>
        <v/>
      </c>
      <c r="O121" s="3" t="str">
        <f aca="false">IF(OR(L121="",M121=""),"","SE?")</f>
        <v/>
      </c>
    </row>
    <row r="122" customFormat="false" ht="17" hidden="false" customHeight="true" outlineLevel="0" collapsed="false">
      <c r="C122" s="2" t="n">
        <f aca="false">L__B!$C$122</f>
        <v>1</v>
      </c>
      <c r="D122" s="2" t="n">
        <f aca="false">L__B!$D$122</f>
        <v>5</v>
      </c>
      <c r="E122" s="102" t="n">
        <f aca="false">L__B!$E$122</f>
        <v>121</v>
      </c>
      <c r="F122" s="103" t="n">
        <f aca="false">calc!$AN$122</f>
        <v>38.913517143068</v>
      </c>
      <c r="G122" s="103" t="n">
        <f aca="false">IF(ABS(F122-F121)&lt;100,F122,"")</f>
        <v>38.913517143068</v>
      </c>
      <c r="H122" s="16" t="n">
        <f aca="false">calc!$X$122</f>
        <v>42.2870180574613</v>
      </c>
      <c r="I122" s="104" t="n">
        <f aca="false">IF(ABS(H122-H121)&lt;100,H122,"")</f>
        <v>42.2870180574613</v>
      </c>
      <c r="J122" s="6" t="n">
        <f aca="false">calc!$Z$122</f>
        <v>-0.932889830262057</v>
      </c>
      <c r="K122" s="16" t="n">
        <f aca="false">10*J122</f>
        <v>-9.32889830262057</v>
      </c>
      <c r="L122" s="6" t="n">
        <f aca="false">IF(ABS(H122-F122)/17.4&lt;1,(H122-F122)/17.4,"")</f>
        <v>0.193879362896168</v>
      </c>
      <c r="M122" s="6" t="n">
        <f aca="false">IF(ABS(J122)/1.58&lt;1,J122/1.58/1.58,"")</f>
        <v>-0.373694051539039</v>
      </c>
      <c r="N122" s="6" t="n">
        <f aca="false">IF(OR(L122="",M122=""),"",ABS(L122)+ABS(M122))</f>
        <v>0.567573414435207</v>
      </c>
      <c r="O122" s="3" t="str">
        <f aca="false">IF(OR(L122="",M122=""),"","SE?")</f>
        <v>SE?</v>
      </c>
    </row>
    <row r="123" customFormat="false" ht="17" hidden="false" customHeight="true" outlineLevel="0" collapsed="false">
      <c r="C123" s="2" t="n">
        <f aca="false">L__B!$C$123</f>
        <v>2</v>
      </c>
      <c r="D123" s="2" t="n">
        <f aca="false">L__B!$D$123</f>
        <v>5</v>
      </c>
      <c r="E123" s="102" t="n">
        <f aca="false">L__B!$E$123</f>
        <v>122</v>
      </c>
      <c r="F123" s="103" t="n">
        <f aca="false">calc!$AN$123</f>
        <v>39.89916450688</v>
      </c>
      <c r="G123" s="103" t="n">
        <f aca="false">IF(ABS(F123-F122)&lt;100,F123,"")</f>
        <v>39.89916450688</v>
      </c>
      <c r="H123" s="16" t="n">
        <f aca="false">calc!$X$123</f>
        <v>54.5369793858275</v>
      </c>
      <c r="I123" s="104" t="n">
        <f aca="false">IF(ABS(H123-H122)&lt;100,H123,"")</f>
        <v>54.5369793858275</v>
      </c>
      <c r="J123" s="6" t="n">
        <f aca="false">calc!$Z$123</f>
        <v>0.194253893054818</v>
      </c>
      <c r="K123" s="16" t="n">
        <f aca="false">10*J123</f>
        <v>1.94253893054818</v>
      </c>
      <c r="L123" s="6" t="n">
        <f aca="false">IF(ABS(H123-F123)/17.4&lt;1,(H123-F123)/17.4,"")</f>
        <v>0.841253728675144</v>
      </c>
      <c r="M123" s="6" t="n">
        <f aca="false">IF(ABS(J123)/1.58&lt;1,J123/1.58/1.58,"")</f>
        <v>0.0778136088186259</v>
      </c>
      <c r="N123" s="6" t="n">
        <f aca="false">IF(OR(L123="",M123=""),"",ABS(L123)+ABS(M123))</f>
        <v>0.91906733749377</v>
      </c>
      <c r="O123" s="3" t="str">
        <f aca="false">IF(OR(L123="",M123=""),"","SE?")</f>
        <v>SE?</v>
      </c>
    </row>
    <row r="124" customFormat="false" ht="17" hidden="false" customHeight="true" outlineLevel="0" collapsed="false">
      <c r="C124" s="2" t="n">
        <f aca="false">L__B!$C$124</f>
        <v>3</v>
      </c>
      <c r="D124" s="2" t="n">
        <f aca="false">L__B!$D$124</f>
        <v>5</v>
      </c>
      <c r="E124" s="102" t="n">
        <f aca="false">L__B!$E$124</f>
        <v>123</v>
      </c>
      <c r="F124" s="103" t="n">
        <f aca="false">calc!$AN$124</f>
        <v>40.8848118706919</v>
      </c>
      <c r="G124" s="103" t="n">
        <f aca="false">IF(ABS(F124-F123)&lt;100,F124,"")</f>
        <v>40.8848118706919</v>
      </c>
      <c r="H124" s="16" t="n">
        <f aca="false">calc!$X$124</f>
        <v>66.6129109668901</v>
      </c>
      <c r="I124" s="104" t="n">
        <f aca="false">IF(ABS(H124-H123)&lt;100,H124,"")</f>
        <v>66.6129109668901</v>
      </c>
      <c r="J124" s="6" t="n">
        <f aca="false">calc!$Z$124</f>
        <v>1.29782789551834</v>
      </c>
      <c r="K124" s="16" t="n">
        <f aca="false">10*J124</f>
        <v>12.9782789551834</v>
      </c>
      <c r="L124" s="6" t="str">
        <f aca="false">IF(ABS(H124-F124)/17.4&lt;1,(H124-F124)/17.4,"")</f>
        <v/>
      </c>
      <c r="M124" s="6" t="n">
        <f aca="false">IF(ABS(J124)/1.58&lt;1,J124/1.58/1.58,"")</f>
        <v>0.519879785097877</v>
      </c>
      <c r="N124" s="6" t="str">
        <f aca="false">IF(OR(L124="",M124=""),"",ABS(L124)+ABS(M124))</f>
        <v/>
      </c>
      <c r="O124" s="3" t="str">
        <f aca="false">IF(OR(L124="",M124=""),"","SE?")</f>
        <v/>
      </c>
    </row>
    <row r="125" customFormat="false" ht="17" hidden="false" customHeight="true" outlineLevel="0" collapsed="false">
      <c r="C125" s="2" t="n">
        <f aca="false">L__B!$C$125</f>
        <v>4</v>
      </c>
      <c r="D125" s="2" t="n">
        <f aca="false">L__B!$D$125</f>
        <v>5</v>
      </c>
      <c r="E125" s="102" t="n">
        <f aca="false">L__B!$E$125</f>
        <v>124</v>
      </c>
      <c r="F125" s="103" t="n">
        <f aca="false">calc!$AN$125</f>
        <v>41.8704592345039</v>
      </c>
      <c r="G125" s="103" t="n">
        <f aca="false">IF(ABS(F125-F124)&lt;100,F125,"")</f>
        <v>41.8704592345039</v>
      </c>
      <c r="H125" s="16" t="n">
        <f aca="false">calc!$X$125</f>
        <v>78.5565440520054</v>
      </c>
      <c r="I125" s="104" t="n">
        <f aca="false">IF(ABS(H125-H124)&lt;100,H125,"")</f>
        <v>78.5565440520054</v>
      </c>
      <c r="J125" s="6" t="n">
        <f aca="false">calc!$Z$125</f>
        <v>2.33257242261966</v>
      </c>
      <c r="K125" s="16" t="n">
        <f aca="false">10*J125</f>
        <v>23.3257242261966</v>
      </c>
      <c r="L125" s="6" t="str">
        <f aca="false">IF(ABS(H125-F125)/17.4&lt;1,(H125-F125)/17.4,"")</f>
        <v/>
      </c>
      <c r="M125" s="6" t="str">
        <f aca="false">IF(ABS(J125)/1.58&lt;1,J125/1.58/1.58,"")</f>
        <v/>
      </c>
      <c r="N125" s="6" t="str">
        <f aca="false">IF(OR(L125="",M125=""),"",ABS(L125)+ABS(M125))</f>
        <v/>
      </c>
      <c r="O125" s="3" t="str">
        <f aca="false">IF(OR(L125="",M125=""),"","SE?")</f>
        <v/>
      </c>
    </row>
    <row r="126" customFormat="false" ht="17" hidden="false" customHeight="true" outlineLevel="0" collapsed="false">
      <c r="C126" s="2" t="n">
        <f aca="false">L__B!$C$126</f>
        <v>5</v>
      </c>
      <c r="D126" s="2" t="n">
        <f aca="false">L__B!$D$126</f>
        <v>5</v>
      </c>
      <c r="E126" s="102" t="n">
        <f aca="false">L__B!$E$126</f>
        <v>125</v>
      </c>
      <c r="F126" s="103" t="n">
        <f aca="false">calc!$AN$126</f>
        <v>42.8561065983158</v>
      </c>
      <c r="G126" s="103" t="n">
        <f aca="false">IF(ABS(F126-F125)&lt;100,F126,"")</f>
        <v>42.8561065983158</v>
      </c>
      <c r="H126" s="16" t="n">
        <f aca="false">calc!$X$126</f>
        <v>90.4175684566398</v>
      </c>
      <c r="I126" s="104" t="n">
        <f aca="false">IF(ABS(H126-H125)&lt;100,H126,"")</f>
        <v>90.4175684566398</v>
      </c>
      <c r="J126" s="6" t="n">
        <f aca="false">calc!$Z$126</f>
        <v>3.25911206785966</v>
      </c>
      <c r="K126" s="16" t="n">
        <f aca="false">10*J126</f>
        <v>32.5911206785966</v>
      </c>
      <c r="L126" s="6" t="str">
        <f aca="false">IF(ABS(H126-F126)/17.4&lt;1,(H126-F126)/17.4,"")</f>
        <v/>
      </c>
      <c r="M126" s="6" t="str">
        <f aca="false">IF(ABS(J126)/1.58&lt;1,J126/1.58/1.58,"")</f>
        <v/>
      </c>
      <c r="N126" s="6" t="str">
        <f aca="false">IF(OR(L126="",M126=""),"",ABS(L126)+ABS(M126))</f>
        <v/>
      </c>
      <c r="O126" s="3" t="str">
        <f aca="false">IF(OR(L126="",M126=""),"","SE?")</f>
        <v/>
      </c>
    </row>
    <row r="127" customFormat="false" ht="17" hidden="false" customHeight="true" outlineLevel="0" collapsed="false">
      <c r="C127" s="2" t="n">
        <f aca="false">L__B!$C$127</f>
        <v>6</v>
      </c>
      <c r="D127" s="2" t="n">
        <f aca="false">L__B!$D$127</f>
        <v>5</v>
      </c>
      <c r="E127" s="102" t="n">
        <f aca="false">L__B!$E$127</f>
        <v>126</v>
      </c>
      <c r="F127" s="103" t="n">
        <f aca="false">calc!$AN$127</f>
        <v>43.8417539621278</v>
      </c>
      <c r="G127" s="103" t="n">
        <f aca="false">IF(ABS(F127-F126)&lt;100,F127,"")</f>
        <v>43.8417539621278</v>
      </c>
      <c r="H127" s="16" t="n">
        <f aca="false">calc!$X$127</f>
        <v>102.251326982571</v>
      </c>
      <c r="I127" s="104" t="n">
        <f aca="false">IF(ABS(H127-H126)&lt;100,H127,"")</f>
        <v>102.251326982571</v>
      </c>
      <c r="J127" s="6" t="n">
        <f aca="false">calc!$Z$127</f>
        <v>4.04366086916577</v>
      </c>
      <c r="K127" s="16" t="n">
        <f aca="false">10*J127</f>
        <v>40.4366086916577</v>
      </c>
      <c r="L127" s="6" t="str">
        <f aca="false">IF(ABS(H127-F127)/17.4&lt;1,(H127-F127)/17.4,"")</f>
        <v/>
      </c>
      <c r="M127" s="6" t="str">
        <f aca="false">IF(ABS(J127)/1.58&lt;1,J127/1.58/1.58,"")</f>
        <v/>
      </c>
      <c r="N127" s="6" t="str">
        <f aca="false">IF(OR(L127="",M127=""),"",ABS(L127)+ABS(M127))</f>
        <v/>
      </c>
      <c r="O127" s="3" t="str">
        <f aca="false">IF(OR(L127="",M127=""),"","SE?")</f>
        <v/>
      </c>
    </row>
    <row r="128" customFormat="false" ht="17" hidden="false" customHeight="true" outlineLevel="0" collapsed="false">
      <c r="C128" s="2" t="n">
        <f aca="false">L__B!$C$128</f>
        <v>7</v>
      </c>
      <c r="D128" s="2" t="n">
        <f aca="false">L__B!$D$128</f>
        <v>5</v>
      </c>
      <c r="E128" s="102" t="n">
        <f aca="false">L__B!$E$128</f>
        <v>127</v>
      </c>
      <c r="F128" s="103" t="n">
        <f aca="false">calc!$AN$128</f>
        <v>44.8274013259434</v>
      </c>
      <c r="G128" s="103" t="n">
        <f aca="false">IF(ABS(F128-F127)&lt;100,F128,"")</f>
        <v>44.8274013259434</v>
      </c>
      <c r="H128" s="16" t="n">
        <f aca="false">calc!$X$128</f>
        <v>114.117791524884</v>
      </c>
      <c r="I128" s="104" t="n">
        <f aca="false">IF(ABS(H128-H127)&lt;100,H128,"")</f>
        <v>114.117791524884</v>
      </c>
      <c r="J128" s="6" t="n">
        <f aca="false">calc!$Z$128</f>
        <v>4.65728728820167</v>
      </c>
      <c r="K128" s="16" t="n">
        <f aca="false">10*J128</f>
        <v>46.5728728820167</v>
      </c>
      <c r="L128" s="6" t="str">
        <f aca="false">IF(ABS(H128-F128)/17.4&lt;1,(H128-F128)/17.4,"")</f>
        <v/>
      </c>
      <c r="M128" s="6" t="str">
        <f aca="false">IF(ABS(J128)/1.58&lt;1,J128/1.58/1.58,"")</f>
        <v/>
      </c>
      <c r="N128" s="6" t="str">
        <f aca="false">IF(OR(L128="",M128=""),"",ABS(L128)+ABS(M128))</f>
        <v/>
      </c>
      <c r="O128" s="3" t="str">
        <f aca="false">IF(OR(L128="",M128=""),"","SE?")</f>
        <v/>
      </c>
    </row>
    <row r="129" customFormat="false" ht="17" hidden="false" customHeight="true" outlineLevel="0" collapsed="false">
      <c r="C129" s="2" t="n">
        <f aca="false">L__B!$C$129</f>
        <v>8</v>
      </c>
      <c r="D129" s="2" t="n">
        <f aca="false">L__B!$D$129</f>
        <v>5</v>
      </c>
      <c r="E129" s="102" t="n">
        <f aca="false">L__B!$E$129</f>
        <v>128</v>
      </c>
      <c r="F129" s="103" t="n">
        <f aca="false">calc!$AN$129</f>
        <v>45.8130486897553</v>
      </c>
      <c r="G129" s="103" t="n">
        <f aca="false">IF(ABS(F129-F128)&lt;100,F129,"")</f>
        <v>45.8130486897553</v>
      </c>
      <c r="H129" s="16" t="n">
        <f aca="false">calc!$X$129</f>
        <v>126.081774081067</v>
      </c>
      <c r="I129" s="104" t="n">
        <f aca="false">IF(ABS(H129-H128)&lt;100,H129,"")</f>
        <v>126.081774081067</v>
      </c>
      <c r="J129" s="6" t="n">
        <f aca="false">calc!$Z$129</f>
        <v>5.07499723661054</v>
      </c>
      <c r="K129" s="16" t="n">
        <f aca="false">10*J129</f>
        <v>50.7499723661054</v>
      </c>
      <c r="L129" s="6" t="str">
        <f aca="false">IF(ABS(H129-F129)/17.4&lt;1,(H129-F129)/17.4,"")</f>
        <v/>
      </c>
      <c r="M129" s="6" t="str">
        <f aca="false">IF(ABS(J129)/1.58&lt;1,J129/1.58/1.58,"")</f>
        <v/>
      </c>
      <c r="N129" s="6" t="str">
        <f aca="false">IF(OR(L129="",M129=""),"",ABS(L129)+ABS(M129))</f>
        <v/>
      </c>
      <c r="O129" s="3" t="str">
        <f aca="false">IF(OR(L129="",M129=""),"","SE?")</f>
        <v/>
      </c>
    </row>
    <row r="130" customFormat="false" ht="17" hidden="false" customHeight="true" outlineLevel="0" collapsed="false">
      <c r="C130" s="2" t="n">
        <f aca="false">L__B!$C$130</f>
        <v>9</v>
      </c>
      <c r="D130" s="2" t="n">
        <f aca="false">L__B!$D$130</f>
        <v>5</v>
      </c>
      <c r="E130" s="102" t="n">
        <f aca="false">L__B!$E$130</f>
        <v>129</v>
      </c>
      <c r="F130" s="103" t="n">
        <f aca="false">calc!$AN$130</f>
        <v>46.7986960535709</v>
      </c>
      <c r="G130" s="103" t="n">
        <f aca="false">IF(ABS(F130-F129)&lt;100,F130,"")</f>
        <v>46.7986960535709</v>
      </c>
      <c r="H130" s="16" t="n">
        <f aca="false">calc!$X$130</f>
        <v>138.213210720189</v>
      </c>
      <c r="I130" s="104" t="n">
        <f aca="false">IF(ABS(H130-H129)&lt;100,H130,"")</f>
        <v>138.213210720189</v>
      </c>
      <c r="J130" s="6" t="n">
        <f aca="false">calc!$Z$130</f>
        <v>5.27490317409464</v>
      </c>
      <c r="K130" s="16" t="n">
        <f aca="false">10*J130</f>
        <v>52.7490317409464</v>
      </c>
      <c r="L130" s="6" t="str">
        <f aca="false">IF(ABS(H130-F130)/17.4&lt;1,(H130-F130)/17.4,"")</f>
        <v/>
      </c>
      <c r="M130" s="6" t="str">
        <f aca="false">IF(ABS(J130)/1.58&lt;1,J130/1.58/1.58,"")</f>
        <v/>
      </c>
      <c r="N130" s="6" t="str">
        <f aca="false">IF(OR(L130="",M130=""),"",ABS(L130)+ABS(M130))</f>
        <v/>
      </c>
      <c r="O130" s="3" t="str">
        <f aca="false">IF(OR(L130="",M130=""),"","SE?")</f>
        <v/>
      </c>
    </row>
    <row r="131" customFormat="false" ht="17" hidden="false" customHeight="true" outlineLevel="0" collapsed="false">
      <c r="C131" s="2" t="n">
        <f aca="false">L__B!$C$131</f>
        <v>10</v>
      </c>
      <c r="D131" s="2" t="n">
        <f aca="false">L__B!$D$131</f>
        <v>5</v>
      </c>
      <c r="E131" s="102" t="n">
        <f aca="false">L__B!$E$131</f>
        <v>130</v>
      </c>
      <c r="F131" s="103" t="n">
        <f aca="false">calc!$AN$131</f>
        <v>47.7843434173847</v>
      </c>
      <c r="G131" s="103" t="n">
        <f aca="false">IF(ABS(F131-F130)&lt;100,F131,"")</f>
        <v>47.7843434173847</v>
      </c>
      <c r="H131" s="16" t="n">
        <f aca="false">calc!$X$131</f>
        <v>150.58572147404</v>
      </c>
      <c r="I131" s="104" t="n">
        <f aca="false">IF(ABS(H131-H130)&lt;100,H131,"")</f>
        <v>150.58572147404</v>
      </c>
      <c r="J131" s="6" t="n">
        <f aca="false">calc!$Z$131</f>
        <v>5.23793857811493</v>
      </c>
      <c r="K131" s="16" t="n">
        <f aca="false">10*J131</f>
        <v>52.3793857811493</v>
      </c>
      <c r="L131" s="6" t="str">
        <f aca="false">IF(ABS(H131-F131)/17.4&lt;1,(H131-F131)/17.4,"")</f>
        <v/>
      </c>
      <c r="M131" s="6" t="str">
        <f aca="false">IF(ABS(J131)/1.58&lt;1,J131/1.58/1.58,"")</f>
        <v/>
      </c>
      <c r="N131" s="6" t="str">
        <f aca="false">IF(OR(L131="",M131=""),"",ABS(L131)+ABS(M131))</f>
        <v/>
      </c>
      <c r="O131" s="3" t="str">
        <f aca="false">IF(OR(L131="",M131=""),"","SE?")</f>
        <v/>
      </c>
    </row>
    <row r="132" customFormat="false" ht="17" hidden="false" customHeight="true" outlineLevel="0" collapsed="false">
      <c r="C132" s="2" t="n">
        <f aca="false">L__B!$C$132</f>
        <v>11</v>
      </c>
      <c r="D132" s="2" t="n">
        <f aca="false">L__B!$D$132</f>
        <v>5</v>
      </c>
      <c r="E132" s="102" t="n">
        <f aca="false">L__B!$E$132</f>
        <v>131</v>
      </c>
      <c r="F132" s="103" t="n">
        <f aca="false">calc!$AN$132</f>
        <v>48.7699907812003</v>
      </c>
      <c r="G132" s="103" t="n">
        <f aca="false">IF(ABS(F132-F131)&lt;100,F132,"")</f>
        <v>48.7699907812003</v>
      </c>
      <c r="H132" s="16" t="n">
        <f aca="false">calc!$X$132</f>
        <v>163.271872841675</v>
      </c>
      <c r="I132" s="104" t="n">
        <f aca="false">IF(ABS(H132-H131)&lt;100,H132,"")</f>
        <v>163.271872841675</v>
      </c>
      <c r="J132" s="6" t="n">
        <f aca="false">calc!$Z$132</f>
        <v>4.94883779185064</v>
      </c>
      <c r="K132" s="16" t="n">
        <f aca="false">10*J132</f>
        <v>49.4883779185064</v>
      </c>
      <c r="L132" s="6" t="str">
        <f aca="false">IF(ABS(H132-F132)/17.4&lt;1,(H132-F132)/17.4,"")</f>
        <v/>
      </c>
      <c r="M132" s="6" t="str">
        <f aca="false">IF(ABS(J132)/1.58&lt;1,J132/1.58/1.58,"")</f>
        <v/>
      </c>
      <c r="N132" s="6" t="str">
        <f aca="false">IF(OR(L132="",M132=""),"",ABS(L132)+ABS(M132))</f>
        <v/>
      </c>
      <c r="O132" s="3" t="str">
        <f aca="false">IF(OR(L132="",M132=""),"","SE?")</f>
        <v/>
      </c>
    </row>
    <row r="133" customFormat="false" ht="17" hidden="false" customHeight="true" outlineLevel="0" collapsed="false">
      <c r="C133" s="2" t="n">
        <f aca="false">L__B!$C$133</f>
        <v>12</v>
      </c>
      <c r="D133" s="2" t="n">
        <f aca="false">L__B!$D$133</f>
        <v>5</v>
      </c>
      <c r="E133" s="102" t="n">
        <f aca="false">L__B!$E$133</f>
        <v>132</v>
      </c>
      <c r="F133" s="103" t="n">
        <f aca="false">calc!$AN$133</f>
        <v>49.755638145014</v>
      </c>
      <c r="G133" s="103" t="n">
        <f aca="false">IF(ABS(F133-F132)&lt;100,F133,"")</f>
        <v>49.755638145014</v>
      </c>
      <c r="H133" s="16" t="n">
        <f aca="false">calc!$X$133</f>
        <v>176.33466884259</v>
      </c>
      <c r="I133" s="104" t="n">
        <f aca="false">IF(ABS(H133-H132)&lt;100,H133,"")</f>
        <v>176.33466884259</v>
      </c>
      <c r="J133" s="6" t="n">
        <f aca="false">calc!$Z$133</f>
        <v>4.39914565104033</v>
      </c>
      <c r="K133" s="16" t="n">
        <f aca="false">10*J133</f>
        <v>43.9914565104032</v>
      </c>
      <c r="L133" s="6" t="str">
        <f aca="false">IF(ABS(H133-F133)/17.4&lt;1,(H133-F133)/17.4,"")</f>
        <v/>
      </c>
      <c r="M133" s="6" t="str">
        <f aca="false">IF(ABS(J133)/1.58&lt;1,J133/1.58/1.58,"")</f>
        <v/>
      </c>
      <c r="N133" s="6" t="str">
        <f aca="false">IF(OR(L133="",M133=""),"",ABS(L133)+ABS(M133))</f>
        <v/>
      </c>
      <c r="O133" s="3" t="str">
        <f aca="false">IF(OR(L133="",M133=""),"","SE?")</f>
        <v/>
      </c>
    </row>
    <row r="134" customFormat="false" ht="17" hidden="false" customHeight="true" outlineLevel="0" collapsed="false">
      <c r="C134" s="2" t="n">
        <f aca="false">L__B!$C$134</f>
        <v>13</v>
      </c>
      <c r="D134" s="2" t="n">
        <f aca="false">L__B!$D$134</f>
        <v>5</v>
      </c>
      <c r="E134" s="102" t="n">
        <f aca="false">L__B!$E$134</f>
        <v>133</v>
      </c>
      <c r="F134" s="103" t="n">
        <f aca="false">calc!$AN$134</f>
        <v>50.7412855088314</v>
      </c>
      <c r="G134" s="103" t="n">
        <f aca="false">IF(ABS(F134-F133)&lt;100,F134,"")</f>
        <v>50.7412855088314</v>
      </c>
      <c r="H134" s="16" t="n">
        <f aca="false">calc!$X$134</f>
        <v>189.816398223673</v>
      </c>
      <c r="I134" s="104" t="n">
        <f aca="false">IF(ABS(H134-H133)&lt;100,H134,"")</f>
        <v>189.816398223673</v>
      </c>
      <c r="J134" s="6" t="n">
        <f aca="false">calc!$Z$134</f>
        <v>3.59253442688642</v>
      </c>
      <c r="K134" s="16" t="n">
        <f aca="false">10*J134</f>
        <v>35.9253442688642</v>
      </c>
      <c r="L134" s="6" t="str">
        <f aca="false">IF(ABS(H134-F134)/17.4&lt;1,(H134-F134)/17.4,"")</f>
        <v/>
      </c>
      <c r="M134" s="6" t="str">
        <f aca="false">IF(ABS(J134)/1.58&lt;1,J134/1.58/1.58,"")</f>
        <v/>
      </c>
      <c r="N134" s="6" t="str">
        <f aca="false">IF(OR(L134="",M134=""),"",ABS(L134)+ABS(M134))</f>
        <v/>
      </c>
      <c r="O134" s="3" t="str">
        <f aca="false">IF(OR(L134="",M134=""),"","SE?")</f>
        <v/>
      </c>
    </row>
    <row r="135" customFormat="false" ht="17" hidden="false" customHeight="true" outlineLevel="0" collapsed="false">
      <c r="C135" s="2" t="n">
        <f aca="false">L__B!$C$135</f>
        <v>14</v>
      </c>
      <c r="D135" s="2" t="n">
        <f aca="false">L__B!$D$135</f>
        <v>5</v>
      </c>
      <c r="E135" s="102" t="n">
        <f aca="false">L__B!$E$135</f>
        <v>134</v>
      </c>
      <c r="F135" s="103" t="n">
        <f aca="false">calc!$AN$135</f>
        <v>51.726932872647</v>
      </c>
      <c r="G135" s="103" t="n">
        <f aca="false">IF(ABS(F135-F134)&lt;100,F135,"")</f>
        <v>51.726932872647</v>
      </c>
      <c r="H135" s="16" t="n">
        <f aca="false">calc!$X$135</f>
        <v>203.72744349184</v>
      </c>
      <c r="I135" s="104" t="n">
        <f aca="false">IF(ABS(H135-H134)&lt;100,H135,"")</f>
        <v>203.72744349184</v>
      </c>
      <c r="J135" s="6" t="n">
        <f aca="false">calc!$Z$135</f>
        <v>2.55156808466704</v>
      </c>
      <c r="K135" s="16" t="n">
        <f aca="false">10*J135</f>
        <v>25.5156808466704</v>
      </c>
      <c r="L135" s="6" t="str">
        <f aca="false">IF(ABS(H135-F135)/17.4&lt;1,(H135-F135)/17.4,"")</f>
        <v/>
      </c>
      <c r="M135" s="6" t="str">
        <f aca="false">IF(ABS(J135)/1.58&lt;1,J135/1.58/1.58,"")</f>
        <v/>
      </c>
      <c r="N135" s="6" t="str">
        <f aca="false">IF(OR(L135="",M135=""),"",ABS(L135)+ABS(M135))</f>
        <v/>
      </c>
      <c r="O135" s="3" t="str">
        <f aca="false">IF(OR(L135="",M135=""),"","SE?")</f>
        <v/>
      </c>
    </row>
    <row r="136" customFormat="false" ht="17" hidden="false" customHeight="true" outlineLevel="0" collapsed="false">
      <c r="C136" s="2" t="n">
        <f aca="false">L__B!$C$136</f>
        <v>15</v>
      </c>
      <c r="D136" s="2" t="n">
        <f aca="false">L__B!$D$136</f>
        <v>5</v>
      </c>
      <c r="E136" s="102" t="n">
        <f aca="false">L__B!$E$136</f>
        <v>135</v>
      </c>
      <c r="F136" s="103" t="n">
        <f aca="false">calc!$AN$136</f>
        <v>52.7125802364662</v>
      </c>
      <c r="G136" s="103" t="n">
        <f aca="false">IF(ABS(F136-F135)&lt;100,F136,"")</f>
        <v>52.7125802364662</v>
      </c>
      <c r="H136" s="16" t="n">
        <f aca="false">calc!$X$136</f>
        <v>218.038381255939</v>
      </c>
      <c r="I136" s="104" t="n">
        <f aca="false">IF(ABS(H136-H135)&lt;100,H136,"")</f>
        <v>218.038381255939</v>
      </c>
      <c r="J136" s="6" t="n">
        <f aca="false">calc!$Z$136</f>
        <v>1.32358634001575</v>
      </c>
      <c r="K136" s="16" t="n">
        <f aca="false">10*J136</f>
        <v>13.2358634001575</v>
      </c>
      <c r="L136" s="6" t="str">
        <f aca="false">IF(ABS(H136-F136)/17.4&lt;1,(H136-F136)/17.4,"")</f>
        <v/>
      </c>
      <c r="M136" s="6" t="n">
        <f aca="false">IF(ABS(J136)/1.58&lt;1,J136/1.58/1.58,"")</f>
        <v>0.530198021156765</v>
      </c>
      <c r="N136" s="6" t="str">
        <f aca="false">IF(OR(L136="",M136=""),"",ABS(L136)+ABS(M136))</f>
        <v/>
      </c>
      <c r="O136" s="3" t="str">
        <f aca="false">IF(OR(L136="",M136=""),"","SE?")</f>
        <v/>
      </c>
    </row>
    <row r="137" customFormat="false" ht="17" hidden="false" customHeight="true" outlineLevel="0" collapsed="false">
      <c r="C137" s="2" t="n">
        <f aca="false">L__B!$C$137</f>
        <v>16</v>
      </c>
      <c r="D137" s="2" t="n">
        <f aca="false">L__B!$D$137</f>
        <v>5</v>
      </c>
      <c r="E137" s="102" t="n">
        <f aca="false">L__B!$E$137</f>
        <v>136</v>
      </c>
      <c r="F137" s="103" t="n">
        <f aca="false">calc!$AN$137</f>
        <v>53.6982276002836</v>
      </c>
      <c r="G137" s="103" t="n">
        <f aca="false">IF(ABS(F137-F136)&lt;100,F137,"")</f>
        <v>53.6982276002836</v>
      </c>
      <c r="H137" s="16" t="n">
        <f aca="false">calc!$X$137</f>
        <v>232.678297351215</v>
      </c>
      <c r="I137" s="104" t="n">
        <f aca="false">IF(ABS(H137-H136)&lt;100,H137,"")</f>
        <v>232.678297351215</v>
      </c>
      <c r="J137" s="6" t="n">
        <f aca="false">calc!$Z$137</f>
        <v>-0.0175664241665054</v>
      </c>
      <c r="K137" s="16" t="n">
        <f aca="false">10*J137</f>
        <v>-0.175664241665054</v>
      </c>
      <c r="L137" s="6" t="str">
        <f aca="false">IF(ABS(H137-F137)/17.4&lt;1,(H137-F137)/17.4,"")</f>
        <v/>
      </c>
      <c r="M137" s="6" t="n">
        <f aca="false">IF(ABS(J137)/1.58&lt;1,J137/1.58/1.58,"")</f>
        <v>-0.00703670251822839</v>
      </c>
      <c r="N137" s="6" t="str">
        <f aca="false">IF(OR(L137="",M137=""),"",ABS(L137)+ABS(M137))</f>
        <v/>
      </c>
      <c r="O137" s="3" t="str">
        <f aca="false">IF(OR(L137="",M137=""),"","SE?")</f>
        <v/>
      </c>
    </row>
    <row r="138" customFormat="false" ht="17" hidden="false" customHeight="true" outlineLevel="0" collapsed="false">
      <c r="C138" s="2" t="n">
        <f aca="false">L__B!$C$138</f>
        <v>17</v>
      </c>
      <c r="D138" s="2" t="n">
        <f aca="false">L__B!$D$138</f>
        <v>5</v>
      </c>
      <c r="E138" s="102" t="n">
        <f aca="false">L__B!$E$138</f>
        <v>137</v>
      </c>
      <c r="F138" s="103" t="n">
        <f aca="false">calc!$AN$138</f>
        <v>54.6838749641011</v>
      </c>
      <c r="G138" s="103" t="n">
        <f aca="false">IF(ABS(F138-F137)&lt;100,F138,"")</f>
        <v>54.6838749641011</v>
      </c>
      <c r="H138" s="16" t="n">
        <f aca="false">calc!$X$138</f>
        <v>247.540748500392</v>
      </c>
      <c r="I138" s="104" t="n">
        <f aca="false">IF(ABS(H138-H137)&lt;100,H138,"")</f>
        <v>247.540748500392</v>
      </c>
      <c r="J138" s="6" t="n">
        <f aca="false">calc!$Z$138</f>
        <v>-1.37664428731431</v>
      </c>
      <c r="K138" s="16" t="n">
        <f aca="false">10*J138</f>
        <v>-13.7664428731431</v>
      </c>
      <c r="L138" s="6" t="str">
        <f aca="false">IF(ABS(H138-F138)/17.4&lt;1,(H138-F138)/17.4,"")</f>
        <v/>
      </c>
      <c r="M138" s="6" t="n">
        <f aca="false">IF(ABS(J138)/1.58&lt;1,J138/1.58/1.58,"")</f>
        <v>-0.551451805525681</v>
      </c>
      <c r="N138" s="6" t="str">
        <f aca="false">IF(OR(L138="",M138=""),"",ABS(L138)+ABS(M138))</f>
        <v/>
      </c>
      <c r="O138" s="3" t="str">
        <f aca="false">IF(OR(L138="",M138=""),"","SE?")</f>
        <v/>
      </c>
    </row>
    <row r="139" customFormat="false" ht="17" hidden="false" customHeight="true" outlineLevel="0" collapsed="false">
      <c r="C139" s="2" t="n">
        <f aca="false">L__B!$C$139</f>
        <v>18</v>
      </c>
      <c r="D139" s="2" t="n">
        <f aca="false">L__B!$D$139</f>
        <v>5</v>
      </c>
      <c r="E139" s="102" t="n">
        <f aca="false">L__B!$E$139</f>
        <v>138</v>
      </c>
      <c r="F139" s="103" t="n">
        <f aca="false">calc!$AN$139</f>
        <v>55.6695223279203</v>
      </c>
      <c r="G139" s="103" t="n">
        <f aca="false">IF(ABS(F139-F138)&lt;100,F139,"")</f>
        <v>55.6695223279203</v>
      </c>
      <c r="H139" s="16" t="n">
        <f aca="false">calc!$X$139</f>
        <v>262.496689060739</v>
      </c>
      <c r="I139" s="104" t="n">
        <f aca="false">IF(ABS(H139-H138)&lt;100,H139,"")</f>
        <v>262.496689060739</v>
      </c>
      <c r="J139" s="6" t="n">
        <f aca="false">calc!$Z$139</f>
        <v>-2.64911955145883</v>
      </c>
      <c r="K139" s="16" t="n">
        <f aca="false">10*J139</f>
        <v>-26.4911955145883</v>
      </c>
      <c r="L139" s="6" t="str">
        <f aca="false">IF(ABS(H139-F139)/17.4&lt;1,(H139-F139)/17.4,"")</f>
        <v/>
      </c>
      <c r="M139" s="6" t="str">
        <f aca="false">IF(ABS(J139)/1.58&lt;1,J139/1.58/1.58,"")</f>
        <v/>
      </c>
      <c r="N139" s="6" t="str">
        <f aca="false">IF(OR(L139="",M139=""),"",ABS(L139)+ABS(M139))</f>
        <v/>
      </c>
      <c r="O139" s="3" t="str">
        <f aca="false">IF(OR(L139="",M139=""),"","SE?")</f>
        <v/>
      </c>
    </row>
    <row r="140" customFormat="false" ht="17" hidden="false" customHeight="true" outlineLevel="0" collapsed="false">
      <c r="C140" s="2" t="n">
        <f aca="false">L__B!$C$140</f>
        <v>19</v>
      </c>
      <c r="D140" s="2" t="n">
        <f aca="false">L__B!$D$140</f>
        <v>5</v>
      </c>
      <c r="E140" s="102" t="n">
        <f aca="false">L__B!$E$140</f>
        <v>139</v>
      </c>
      <c r="F140" s="103" t="n">
        <f aca="false">calc!$AN$140</f>
        <v>56.6551696917395</v>
      </c>
      <c r="G140" s="103" t="n">
        <f aca="false">IF(ABS(F140-F139)&lt;100,F140,"")</f>
        <v>56.6551696917395</v>
      </c>
      <c r="H140" s="16" t="n">
        <f aca="false">calc!$X$140</f>
        <v>277.411664197781</v>
      </c>
      <c r="I140" s="104" t="n">
        <f aca="false">IF(ABS(H140-H139)&lt;100,H140,"")</f>
        <v>277.411664197781</v>
      </c>
      <c r="J140" s="6" t="n">
        <f aca="false">calc!$Z$140</f>
        <v>-3.73717135486962</v>
      </c>
      <c r="K140" s="16" t="n">
        <f aca="false">10*J140</f>
        <v>-37.3717135486962</v>
      </c>
      <c r="L140" s="6" t="str">
        <f aca="false">IF(ABS(H140-F140)/17.4&lt;1,(H140-F140)/17.4,"")</f>
        <v/>
      </c>
      <c r="M140" s="6" t="str">
        <f aca="false">IF(ABS(J140)/1.58&lt;1,J140/1.58/1.58,"")</f>
        <v/>
      </c>
      <c r="N140" s="6" t="str">
        <f aca="false">IF(OR(L140="",M140=""),"",ABS(L140)+ABS(M140))</f>
        <v/>
      </c>
      <c r="O140" s="3" t="str">
        <f aca="false">IF(OR(L140="",M140=""),"","SE?")</f>
        <v/>
      </c>
    </row>
    <row r="141" customFormat="false" ht="17" hidden="false" customHeight="true" outlineLevel="0" collapsed="false">
      <c r="C141" s="2" t="n">
        <f aca="false">L__B!$C$141</f>
        <v>20</v>
      </c>
      <c r="D141" s="2" t="n">
        <f aca="false">L__B!$D$141</f>
        <v>5</v>
      </c>
      <c r="E141" s="102" t="n">
        <f aca="false">L__B!$E$141</f>
        <v>140</v>
      </c>
      <c r="F141" s="103" t="n">
        <f aca="false">calc!$AN$141</f>
        <v>57.6408170555569</v>
      </c>
      <c r="G141" s="103" t="n">
        <f aca="false">IF(ABS(F141-F140)&lt;100,F141,"")</f>
        <v>57.6408170555569</v>
      </c>
      <c r="H141" s="16" t="n">
        <f aca="false">calc!$X$141</f>
        <v>292.163350785447</v>
      </c>
      <c r="I141" s="104" t="n">
        <f aca="false">IF(ABS(H141-H140)&lt;100,H141,"")</f>
        <v>292.163350785447</v>
      </c>
      <c r="J141" s="6" t="n">
        <f aca="false">calc!$Z$141</f>
        <v>-4.564297356929</v>
      </c>
      <c r="K141" s="16" t="n">
        <f aca="false">10*J141</f>
        <v>-45.64297356929</v>
      </c>
      <c r="L141" s="6" t="str">
        <f aca="false">IF(ABS(H141-F141)/17.4&lt;1,(H141-F141)/17.4,"")</f>
        <v/>
      </c>
      <c r="M141" s="6" t="str">
        <f aca="false">IF(ABS(J141)/1.58&lt;1,J141/1.58/1.58,"")</f>
        <v/>
      </c>
      <c r="N141" s="6" t="str">
        <f aca="false">IF(OR(L141="",M141=""),"",ABS(L141)+ABS(M141))</f>
        <v/>
      </c>
      <c r="O141" s="3" t="str">
        <f aca="false">IF(OR(L141="",M141=""),"","SE?")</f>
        <v/>
      </c>
    </row>
    <row r="142" customFormat="false" ht="17" hidden="false" customHeight="true" outlineLevel="0" collapsed="false">
      <c r="C142" s="2" t="n">
        <f aca="false">L__B!$C$142</f>
        <v>21</v>
      </c>
      <c r="D142" s="2" t="n">
        <f aca="false">L__B!$D$142</f>
        <v>5</v>
      </c>
      <c r="E142" s="102" t="n">
        <f aca="false">L__B!$E$142</f>
        <v>141</v>
      </c>
      <c r="F142" s="103" t="n">
        <f aca="false">calc!$AN$142</f>
        <v>58.6264644193761</v>
      </c>
      <c r="G142" s="103" t="n">
        <f aca="false">IF(ABS(F142-F141)&lt;100,F142,"")</f>
        <v>58.6264644193761</v>
      </c>
      <c r="H142" s="16" t="n">
        <f aca="false">calc!$X$142</f>
        <v>306.655523499861</v>
      </c>
      <c r="I142" s="104" t="n">
        <f aca="false">IF(ABS(H142-H141)&lt;100,H142,"")</f>
        <v>306.655523499861</v>
      </c>
      <c r="J142" s="6" t="n">
        <f aca="false">calc!$Z$142</f>
        <v>-5.08395053458265</v>
      </c>
      <c r="K142" s="16" t="n">
        <f aca="false">10*J142</f>
        <v>-50.8395053458265</v>
      </c>
      <c r="L142" s="6" t="str">
        <f aca="false">IF(ABS(H142-F142)/17.4&lt;1,(H142-F142)/17.4,"")</f>
        <v/>
      </c>
      <c r="M142" s="6" t="str">
        <f aca="false">IF(ABS(J142)/1.58&lt;1,J142/1.58/1.58,"")</f>
        <v/>
      </c>
      <c r="N142" s="6" t="str">
        <f aca="false">IF(OR(L142="",M142=""),"",ABS(L142)+ABS(M142))</f>
        <v/>
      </c>
      <c r="O142" s="3" t="str">
        <f aca="false">IF(OR(L142="",M142=""),"","SE?")</f>
        <v/>
      </c>
    </row>
    <row r="143" customFormat="false" ht="17" hidden="false" customHeight="true" outlineLevel="0" collapsed="false">
      <c r="C143" s="2" t="n">
        <f aca="false">L__B!$C$143</f>
        <v>22</v>
      </c>
      <c r="D143" s="2" t="n">
        <f aca="false">L__B!$D$143</f>
        <v>5</v>
      </c>
      <c r="E143" s="102" t="n">
        <f aca="false">L__B!$E$143</f>
        <v>142</v>
      </c>
      <c r="F143" s="103" t="n">
        <f aca="false">calc!$AN$143</f>
        <v>59.6121117831972</v>
      </c>
      <c r="G143" s="103" t="n">
        <f aca="false">IF(ABS(F143-F142)&lt;100,F143,"")</f>
        <v>59.6121117831972</v>
      </c>
      <c r="H143" s="16" t="n">
        <f aca="false">calc!$X$143</f>
        <v>320.825715948145</v>
      </c>
      <c r="I143" s="104" t="n">
        <f aca="false">IF(ABS(H143-H142)&lt;100,H143,"")</f>
        <v>320.825715948145</v>
      </c>
      <c r="J143" s="6" t="n">
        <f aca="false">calc!$Z$143</f>
        <v>-5.28057804125969</v>
      </c>
      <c r="K143" s="16" t="n">
        <f aca="false">10*J143</f>
        <v>-52.8057804125969</v>
      </c>
      <c r="L143" s="6" t="str">
        <f aca="false">IF(ABS(H143-F143)/17.4&lt;1,(H143-F143)/17.4,"")</f>
        <v/>
      </c>
      <c r="M143" s="6" t="str">
        <f aca="false">IF(ABS(J143)/1.58&lt;1,J143/1.58/1.58,"")</f>
        <v/>
      </c>
      <c r="N143" s="6" t="str">
        <f aca="false">IF(OR(L143="",M143=""),"",ABS(L143)+ABS(M143))</f>
        <v/>
      </c>
      <c r="O143" s="3" t="str">
        <f aca="false">IF(OR(L143="",M143=""),"","SE?")</f>
        <v/>
      </c>
    </row>
    <row r="144" customFormat="false" ht="17" hidden="false" customHeight="true" outlineLevel="0" collapsed="false">
      <c r="C144" s="2" t="n">
        <f aca="false">L__B!$C$144</f>
        <v>23</v>
      </c>
      <c r="D144" s="2" t="n">
        <f aca="false">L__B!$D$144</f>
        <v>5</v>
      </c>
      <c r="E144" s="102" t="n">
        <f aca="false">L__B!$E$144</f>
        <v>143</v>
      </c>
      <c r="F144" s="103" t="n">
        <f aca="false">calc!$AN$144</f>
        <v>60.59775914702</v>
      </c>
      <c r="G144" s="103" t="n">
        <f aca="false">IF(ABS(F144-F143)&lt;100,F144,"")</f>
        <v>60.59775914702</v>
      </c>
      <c r="H144" s="16" t="n">
        <f aca="false">calc!$X$144</f>
        <v>334.645789732579</v>
      </c>
      <c r="I144" s="104" t="n">
        <f aca="false">IF(ABS(H144-H143)&lt;100,H144,"")</f>
        <v>334.645789732579</v>
      </c>
      <c r="J144" s="6" t="n">
        <f aca="false">calc!$Z$144</f>
        <v>-5.16472698927984</v>
      </c>
      <c r="K144" s="16" t="n">
        <f aca="false">10*J144</f>
        <v>-51.6472698927984</v>
      </c>
      <c r="L144" s="6" t="str">
        <f aca="false">IF(ABS(H144-F144)/17.4&lt;1,(H144-F144)/17.4,"")</f>
        <v/>
      </c>
      <c r="M144" s="6" t="str">
        <f aca="false">IF(ABS(J144)/1.58&lt;1,J144/1.58/1.58,"")</f>
        <v/>
      </c>
      <c r="N144" s="6" t="str">
        <f aca="false">IF(OR(L144="",M144=""),"",ABS(L144)+ABS(M144))</f>
        <v/>
      </c>
      <c r="O144" s="3" t="str">
        <f aca="false">IF(OR(L144="",M144=""),"","SE?")</f>
        <v/>
      </c>
    </row>
    <row r="145" customFormat="false" ht="17" hidden="false" customHeight="true" outlineLevel="0" collapsed="false">
      <c r="C145" s="2" t="n">
        <f aca="false">L__B!$C$145</f>
        <v>24</v>
      </c>
      <c r="D145" s="2" t="n">
        <f aca="false">L__B!$D$145</f>
        <v>5</v>
      </c>
      <c r="E145" s="102" t="n">
        <f aca="false">L__B!$E$145</f>
        <v>144</v>
      </c>
      <c r="F145" s="103" t="n">
        <f aca="false">calc!$AN$145</f>
        <v>61.5834065108393</v>
      </c>
      <c r="G145" s="103" t="n">
        <f aca="false">IF(ABS(F145-F144)&lt;100,F145,"")</f>
        <v>61.5834065108393</v>
      </c>
      <c r="H145" s="16" t="n">
        <f aca="false">calc!$X$145</f>
        <v>348.116624079538</v>
      </c>
      <c r="I145" s="104" t="n">
        <f aca="false">IF(ABS(H145-H144)&lt;100,H145,"")</f>
        <v>348.116624079538</v>
      </c>
      <c r="J145" s="6" t="n">
        <f aca="false">calc!$Z$145</f>
        <v>-4.76558134605814</v>
      </c>
      <c r="K145" s="16" t="n">
        <f aca="false">10*J145</f>
        <v>-47.6558134605814</v>
      </c>
      <c r="L145" s="6" t="str">
        <f aca="false">IF(ABS(H145-F145)/17.4&lt;1,(H145-F145)/17.4,"")</f>
        <v/>
      </c>
      <c r="M145" s="6" t="str">
        <f aca="false">IF(ABS(J145)/1.58&lt;1,J145/1.58/1.58,"")</f>
        <v/>
      </c>
      <c r="N145" s="6" t="str">
        <f aca="false">IF(OR(L145="",M145=""),"",ABS(L145)+ABS(M145))</f>
        <v/>
      </c>
      <c r="O145" s="3" t="str">
        <f aca="false">IF(OR(L145="",M145=""),"","SE?")</f>
        <v/>
      </c>
    </row>
    <row r="146" customFormat="false" ht="17" hidden="false" customHeight="true" outlineLevel="0" collapsed="false">
      <c r="C146" s="2" t="n">
        <f aca="false">L__B!$C$146</f>
        <v>25</v>
      </c>
      <c r="D146" s="2" t="n">
        <f aca="false">L__B!$D$146</f>
        <v>5</v>
      </c>
      <c r="E146" s="102" t="n">
        <f aca="false">L__B!$E$146</f>
        <v>145</v>
      </c>
      <c r="F146" s="103" t="n">
        <f aca="false">calc!$AN$146</f>
        <v>62.5690538746621</v>
      </c>
      <c r="G146" s="103" t="n">
        <f aca="false">IF(ABS(F146-F145)&lt;100,F146,"")</f>
        <v>62.5690538746621</v>
      </c>
      <c r="H146" s="16" t="n">
        <f aca="false">calc!$X$146</f>
        <v>1.25952089794399</v>
      </c>
      <c r="I146" s="104" t="str">
        <f aca="false">IF(ABS(H146-H145)&lt;100,H146,"")</f>
        <v/>
      </c>
      <c r="J146" s="6" t="n">
        <f aca="false">calc!$Z$146</f>
        <v>-4.12394365851817</v>
      </c>
      <c r="K146" s="16" t="n">
        <f aca="false">10*J146</f>
        <v>-41.2394365851817</v>
      </c>
      <c r="L146" s="6" t="str">
        <f aca="false">IF(ABS(H146-F146)/17.4&lt;1,(H146-F146)/17.4,"")</f>
        <v/>
      </c>
      <c r="M146" s="6" t="str">
        <f aca="false">IF(ABS(J146)/1.58&lt;1,J146/1.58/1.58,"")</f>
        <v/>
      </c>
      <c r="N146" s="6" t="str">
        <f aca="false">IF(OR(L146="",M146=""),"",ABS(L146)+ABS(M146))</f>
        <v/>
      </c>
      <c r="O146" s="3" t="str">
        <f aca="false">IF(OR(L146="",M146=""),"","SE?")</f>
        <v/>
      </c>
    </row>
    <row r="147" customFormat="false" ht="17" hidden="false" customHeight="true" outlineLevel="0" collapsed="false">
      <c r="C147" s="2" t="n">
        <f aca="false">L__B!$C$147</f>
        <v>26</v>
      </c>
      <c r="D147" s="2" t="n">
        <f aca="false">L__B!$D$147</f>
        <v>5</v>
      </c>
      <c r="E147" s="102" t="n">
        <f aca="false">L__B!$E$147</f>
        <v>146</v>
      </c>
      <c r="F147" s="103" t="n">
        <f aca="false">calc!$AN$147</f>
        <v>63.5547012384832</v>
      </c>
      <c r="G147" s="103" t="n">
        <f aca="false">IF(ABS(F147-F146)&lt;100,F147,"")</f>
        <v>63.5547012384832</v>
      </c>
      <c r="H147" s="16" t="n">
        <f aca="false">calc!$X$147</f>
        <v>14.1072825551605</v>
      </c>
      <c r="I147" s="104" t="n">
        <f aca="false">IF(ABS(H147-H146)&lt;100,H147,"")</f>
        <v>14.1072825551605</v>
      </c>
      <c r="J147" s="6" t="n">
        <f aca="false">calc!$Z$147</f>
        <v>-3.28714678640016</v>
      </c>
      <c r="K147" s="16" t="n">
        <f aca="false">10*J147</f>
        <v>-32.8714678640016</v>
      </c>
      <c r="L147" s="6" t="str">
        <f aca="false">IF(ABS(H147-F147)/17.4&lt;1,(H147-F147)/17.4,"")</f>
        <v/>
      </c>
      <c r="M147" s="6" t="str">
        <f aca="false">IF(ABS(J147)/1.58&lt;1,J147/1.58/1.58,"")</f>
        <v/>
      </c>
      <c r="N147" s="6" t="str">
        <f aca="false">IF(OR(L147="",M147=""),"",ABS(L147)+ABS(M147))</f>
        <v/>
      </c>
      <c r="O147" s="3" t="str">
        <f aca="false">IF(OR(L147="",M147=""),"","SE?")</f>
        <v/>
      </c>
    </row>
    <row r="148" customFormat="false" ht="17" hidden="false" customHeight="true" outlineLevel="0" collapsed="false">
      <c r="C148" s="2" t="n">
        <f aca="false">L__B!$C$148</f>
        <v>27</v>
      </c>
      <c r="D148" s="2" t="n">
        <f aca="false">L__B!$D$148</f>
        <v>5</v>
      </c>
      <c r="E148" s="102" t="n">
        <f aca="false">L__B!$E$148</f>
        <v>147</v>
      </c>
      <c r="F148" s="103" t="n">
        <f aca="false">calc!$AN$148</f>
        <v>64.5403486023079</v>
      </c>
      <c r="G148" s="103" t="n">
        <f aca="false">IF(ABS(F148-F147)&lt;100,F148,"")</f>
        <v>64.5403486023079</v>
      </c>
      <c r="H148" s="16" t="n">
        <f aca="false">calc!$X$148</f>
        <v>26.6972680804478</v>
      </c>
      <c r="I148" s="104" t="n">
        <f aca="false">IF(ABS(H148-H147)&lt;100,H148,"")</f>
        <v>26.6972680804478</v>
      </c>
      <c r="J148" s="6" t="n">
        <f aca="false">calc!$Z$148</f>
        <v>-2.30587833464353</v>
      </c>
      <c r="K148" s="16" t="n">
        <f aca="false">10*J148</f>
        <v>-23.0587833464353</v>
      </c>
      <c r="L148" s="6" t="str">
        <f aca="false">IF(ABS(H148-F148)/17.4&lt;1,(H148-F148)/17.4,"")</f>
        <v/>
      </c>
      <c r="M148" s="6" t="str">
        <f aca="false">IF(ABS(J148)/1.58&lt;1,J148/1.58/1.58,"")</f>
        <v/>
      </c>
      <c r="N148" s="6" t="str">
        <f aca="false">IF(OR(L148="",M148=""),"",ABS(L148)+ABS(M148))</f>
        <v/>
      </c>
      <c r="O148" s="3" t="str">
        <f aca="false">IF(OR(L148="",M148=""),"","SE?")</f>
        <v/>
      </c>
    </row>
    <row r="149" customFormat="false" ht="17" hidden="false" customHeight="true" outlineLevel="0" collapsed="false">
      <c r="C149" s="2" t="n">
        <f aca="false">L__B!$C$149</f>
        <v>28</v>
      </c>
      <c r="D149" s="2" t="n">
        <f aca="false">L__B!$D$149</f>
        <v>5</v>
      </c>
      <c r="E149" s="102" t="n">
        <f aca="false">L__B!$E$149</f>
        <v>148</v>
      </c>
      <c r="F149" s="103" t="n">
        <f aca="false">calc!$AN$149</f>
        <v>65.5259959661307</v>
      </c>
      <c r="G149" s="103" t="n">
        <f aca="false">IF(ABS(F149-F148)&lt;100,F149,"")</f>
        <v>65.5259959661307</v>
      </c>
      <c r="H149" s="16" t="n">
        <f aca="false">calc!$X$149</f>
        <v>39.0674516409723</v>
      </c>
      <c r="I149" s="104" t="n">
        <f aca="false">IF(ABS(H149-H148)&lt;100,H149,"")</f>
        <v>39.0674516409723</v>
      </c>
      <c r="J149" s="6" t="n">
        <f aca="false">calc!$Z$149</f>
        <v>-1.23213958857919</v>
      </c>
      <c r="K149" s="16" t="n">
        <f aca="false">10*J149</f>
        <v>-12.3213958857919</v>
      </c>
      <c r="L149" s="6" t="str">
        <f aca="false">IF(ABS(H149-F149)/17.4&lt;1,(H149-F149)/17.4,"")</f>
        <v/>
      </c>
      <c r="M149" s="6" t="n">
        <f aca="false">IF(ABS(J149)/1.58&lt;1,J149/1.58/1.58,"")</f>
        <v>-0.493566571294339</v>
      </c>
      <c r="N149" s="6" t="str">
        <f aca="false">IF(OR(L149="",M149=""),"",ABS(L149)+ABS(M149))</f>
        <v/>
      </c>
      <c r="O149" s="3" t="str">
        <f aca="false">IF(OR(L149="",M149=""),"","SE?")</f>
        <v/>
      </c>
    </row>
    <row r="150" customFormat="false" ht="17" hidden="false" customHeight="true" outlineLevel="0" collapsed="false">
      <c r="C150" s="2" t="n">
        <f aca="false">L__B!$C$150</f>
        <v>29</v>
      </c>
      <c r="D150" s="2" t="n">
        <f aca="false">L__B!$D$150</f>
        <v>5</v>
      </c>
      <c r="E150" s="102" t="n">
        <f aca="false">L__B!$E$150</f>
        <v>149</v>
      </c>
      <c r="F150" s="103" t="n">
        <f aca="false">calc!$AN$150</f>
        <v>66.5116433299536</v>
      </c>
      <c r="G150" s="103" t="n">
        <f aca="false">IF(ABS(F150-F149)&lt;100,F150,"")</f>
        <v>66.5116433299536</v>
      </c>
      <c r="H150" s="16" t="n">
        <f aca="false">calc!$X$150</f>
        <v>51.2551775643718</v>
      </c>
      <c r="I150" s="104" t="n">
        <f aca="false">IF(ABS(H150-H149)&lt;100,H150,"")</f>
        <v>51.2551775643718</v>
      </c>
      <c r="J150" s="6" t="n">
        <f aca="false">calc!$Z$150</f>
        <v>-0.117582879366761</v>
      </c>
      <c r="K150" s="16" t="n">
        <f aca="false">10*J150</f>
        <v>-1.17582879366761</v>
      </c>
      <c r="L150" s="6" t="n">
        <f aca="false">IF(ABS(H150-F150)/17.4&lt;1,(H150-F150)/17.4,"")</f>
        <v>-0.876808377332285</v>
      </c>
      <c r="M150" s="6" t="n">
        <f aca="false">IF(ABS(J150)/1.58&lt;1,J150/1.58/1.58,"")</f>
        <v>-0.0471009771538057</v>
      </c>
      <c r="N150" s="6" t="n">
        <f aca="false">IF(OR(L150="",M150=""),"",ABS(L150)+ABS(M150))</f>
        <v>0.923909354486091</v>
      </c>
      <c r="O150" s="3" t="str">
        <f aca="false">IF(OR(L150="",M150=""),"","SE?")</f>
        <v>SE?</v>
      </c>
    </row>
    <row r="151" customFormat="false" ht="17" hidden="false" customHeight="true" outlineLevel="0" collapsed="false">
      <c r="C151" s="2" t="n">
        <f aca="false">L__B!$C$151</f>
        <v>30</v>
      </c>
      <c r="D151" s="2" t="n">
        <f aca="false">L__B!$D$151</f>
        <v>5</v>
      </c>
      <c r="E151" s="102" t="n">
        <f aca="false">L__B!$E$151</f>
        <v>150</v>
      </c>
      <c r="F151" s="103" t="n">
        <f aca="false">calc!$AN$151</f>
        <v>67.4972906937765</v>
      </c>
      <c r="G151" s="103" t="n">
        <f aca="false">IF(ABS(F151-F150)&lt;100,F151,"")</f>
        <v>67.4972906937765</v>
      </c>
      <c r="H151" s="16" t="n">
        <f aca="false">calc!$X$151</f>
        <v>63.2974603455852</v>
      </c>
      <c r="I151" s="104" t="n">
        <f aca="false">IF(ABS(H151-H150)&lt;100,H151,"")</f>
        <v>63.2974603455852</v>
      </c>
      <c r="J151" s="6" t="n">
        <f aca="false">calc!$Z$151</f>
        <v>0.988100170488519</v>
      </c>
      <c r="K151" s="16" t="n">
        <f aca="false">10*J151</f>
        <v>9.88100170488519</v>
      </c>
      <c r="L151" s="6" t="n">
        <f aca="false">IF(ABS(H151-F151)/17.4&lt;1,(H151-F151)/17.4,"")</f>
        <v>-0.241369560240876</v>
      </c>
      <c r="M151" s="6" t="n">
        <f aca="false">IF(ABS(J151)/1.58&lt;1,J151/1.58/1.58,"")</f>
        <v>0.395810034645297</v>
      </c>
      <c r="N151" s="6" t="n">
        <f aca="false">IF(OR(L151="",M151=""),"",ABS(L151)+ABS(M151))</f>
        <v>0.637179594886173</v>
      </c>
      <c r="O151" s="3" t="str">
        <f aca="false">IF(OR(L151="",M151=""),"","SE?")</f>
        <v>SE?</v>
      </c>
    </row>
    <row r="152" customFormat="false" ht="17" hidden="false" customHeight="true" outlineLevel="0" collapsed="false">
      <c r="C152" s="2" t="n">
        <f aca="false">L__B!$C$152</f>
        <v>31</v>
      </c>
      <c r="D152" s="2" t="n">
        <f aca="false">L__B!$D$152</f>
        <v>5</v>
      </c>
      <c r="E152" s="102" t="n">
        <f aca="false">L__B!$E$152</f>
        <v>151</v>
      </c>
      <c r="F152" s="103" t="n">
        <f aca="false">calc!$AN$152</f>
        <v>68.4829380576011</v>
      </c>
      <c r="G152" s="103" t="n">
        <f aca="false">IF(ABS(F152-F151)&lt;100,F152,"")</f>
        <v>68.4829380576011</v>
      </c>
      <c r="H152" s="16" t="n">
        <f aca="false">calc!$X$152</f>
        <v>75.2315804841383</v>
      </c>
      <c r="I152" s="104" t="n">
        <f aca="false">IF(ABS(H152-H151)&lt;100,H152,"")</f>
        <v>75.2315804841383</v>
      </c>
      <c r="J152" s="6" t="n">
        <f aca="false">calc!$Z$152</f>
        <v>2.03866511575553</v>
      </c>
      <c r="K152" s="16" t="n">
        <f aca="false">10*J152</f>
        <v>20.3866511575553</v>
      </c>
      <c r="L152" s="6" t="n">
        <f aca="false">IF(ABS(H152-F152)/17.4&lt;1,(H152-F152)/17.4,"")</f>
        <v>0.387853013019375</v>
      </c>
      <c r="M152" s="6" t="str">
        <f aca="false">IF(ABS(J152)/1.58&lt;1,J152/1.58/1.58,"")</f>
        <v/>
      </c>
      <c r="N152" s="6" t="str">
        <f aca="false">IF(OR(L152="",M152=""),"",ABS(L152)+ABS(M152))</f>
        <v/>
      </c>
      <c r="O152" s="3" t="str">
        <f aca="false">IF(OR(L152="",M152=""),"","SE?")</f>
        <v/>
      </c>
    </row>
    <row r="153" customFormat="false" ht="17" hidden="false" customHeight="true" outlineLevel="0" collapsed="false">
      <c r="C153" s="2" t="n">
        <f aca="false">L__B!$C$153</f>
        <v>1</v>
      </c>
      <c r="D153" s="2" t="n">
        <f aca="false">L__B!$D$153</f>
        <v>6</v>
      </c>
      <c r="E153" s="102" t="n">
        <f aca="false">L__B!$E$153</f>
        <v>152</v>
      </c>
      <c r="F153" s="103" t="n">
        <f aca="false">calc!$AN$153</f>
        <v>69.4685854214258</v>
      </c>
      <c r="G153" s="103" t="n">
        <f aca="false">IF(ABS(F153-F152)&lt;100,F153,"")</f>
        <v>69.4685854214258</v>
      </c>
      <c r="H153" s="16" t="n">
        <f aca="false">calc!$X$153</f>
        <v>87.0952822969911</v>
      </c>
      <c r="I153" s="104" t="n">
        <f aca="false">IF(ABS(H153-H152)&lt;100,H153,"")</f>
        <v>87.0952822969911</v>
      </c>
      <c r="J153" s="6" t="n">
        <f aca="false">calc!$Z$153</f>
        <v>2.99245953654991</v>
      </c>
      <c r="K153" s="16" t="n">
        <f aca="false">10*J153</f>
        <v>29.9245953654991</v>
      </c>
      <c r="L153" s="6" t="str">
        <f aca="false">IF(ABS(H153-F153)/17.4&lt;1,(H153-F153)/17.4,"")</f>
        <v/>
      </c>
      <c r="M153" s="6" t="str">
        <f aca="false">IF(ABS(J153)/1.58&lt;1,J153/1.58/1.58,"")</f>
        <v/>
      </c>
      <c r="N153" s="6" t="str">
        <f aca="false">IF(OR(L153="",M153=""),"",ABS(L153)+ABS(M153))</f>
        <v/>
      </c>
      <c r="O153" s="3" t="str">
        <f aca="false">IF(OR(L153="",M153=""),"","SE?")</f>
        <v/>
      </c>
    </row>
    <row r="154" customFormat="false" ht="17" hidden="false" customHeight="true" outlineLevel="0" collapsed="false">
      <c r="C154" s="2" t="n">
        <f aca="false">L__B!$C$154</f>
        <v>2</v>
      </c>
      <c r="D154" s="2" t="n">
        <f aca="false">L__B!$D$154</f>
        <v>6</v>
      </c>
      <c r="E154" s="102" t="n">
        <f aca="false">L__B!$E$154</f>
        <v>153</v>
      </c>
      <c r="F154" s="103" t="n">
        <f aca="false">calc!$AN$154</f>
        <v>70.4542327852505</v>
      </c>
      <c r="G154" s="103" t="n">
        <f aca="false">IF(ABS(F154-F153)&lt;100,F154,"")</f>
        <v>70.4542327852505</v>
      </c>
      <c r="H154" s="16" t="n">
        <f aca="false">calc!$X$154</f>
        <v>98.9266982688588</v>
      </c>
      <c r="I154" s="104" t="n">
        <f aca="false">IF(ABS(H154-H153)&lt;100,H154,"")</f>
        <v>98.9266982688588</v>
      </c>
      <c r="J154" s="6" t="n">
        <f aca="false">calc!$Z$154</f>
        <v>3.81309980383893</v>
      </c>
      <c r="K154" s="16" t="n">
        <f aca="false">10*J154</f>
        <v>38.1309980383893</v>
      </c>
      <c r="L154" s="6" t="str">
        <f aca="false">IF(ABS(H154-F154)/17.4&lt;1,(H154-F154)/17.4,"")</f>
        <v/>
      </c>
      <c r="M154" s="6" t="str">
        <f aca="false">IF(ABS(J154)/1.58&lt;1,J154/1.58/1.58,"")</f>
        <v/>
      </c>
      <c r="N154" s="6" t="str">
        <f aca="false">IF(OR(L154="",M154=""),"",ABS(L154)+ABS(M154))</f>
        <v/>
      </c>
      <c r="O154" s="3" t="str">
        <f aca="false">IF(OR(L154="",M154=""),"","SE?")</f>
        <v/>
      </c>
    </row>
    <row r="155" customFormat="false" ht="17" hidden="false" customHeight="true" outlineLevel="0" collapsed="false">
      <c r="C155" s="2" t="n">
        <f aca="false">L__B!$C$155</f>
        <v>3</v>
      </c>
      <c r="D155" s="2" t="n">
        <f aca="false">L__B!$D$155</f>
        <v>6</v>
      </c>
      <c r="E155" s="102" t="n">
        <f aca="false">L__B!$E$155</f>
        <v>154</v>
      </c>
      <c r="F155" s="103" t="n">
        <f aca="false">calc!$AN$155</f>
        <v>71.439880149077</v>
      </c>
      <c r="G155" s="103" t="n">
        <f aca="false">IF(ABS(F155-F154)&lt;100,F155,"")</f>
        <v>71.439880149077</v>
      </c>
      <c r="H155" s="16" t="n">
        <f aca="false">calc!$X$155</f>
        <v>110.764713996874</v>
      </c>
      <c r="I155" s="104" t="n">
        <f aca="false">IF(ABS(H155-H154)&lt;100,H155,"")</f>
        <v>110.764713996874</v>
      </c>
      <c r="J155" s="6" t="n">
        <f aca="false">calc!$Z$155</f>
        <v>4.4697017153972</v>
      </c>
      <c r="K155" s="16" t="n">
        <f aca="false">10*J155</f>
        <v>44.697017153972</v>
      </c>
      <c r="L155" s="6" t="str">
        <f aca="false">IF(ABS(H155-F155)/17.4&lt;1,(H155-F155)/17.4,"")</f>
        <v/>
      </c>
      <c r="M155" s="6" t="str">
        <f aca="false">IF(ABS(J155)/1.58&lt;1,J155/1.58/1.58,"")</f>
        <v/>
      </c>
      <c r="N155" s="6" t="str">
        <f aca="false">IF(OR(L155="",M155=""),"",ABS(L155)+ABS(M155))</f>
        <v/>
      </c>
      <c r="O155" s="3" t="str">
        <f aca="false">IF(OR(L155="",M155=""),"","SE?")</f>
        <v/>
      </c>
    </row>
    <row r="156" customFormat="false" ht="17" hidden="false" customHeight="true" outlineLevel="0" collapsed="false">
      <c r="C156" s="2" t="n">
        <f aca="false">L__B!$C$156</f>
        <v>4</v>
      </c>
      <c r="D156" s="2" t="n">
        <f aca="false">L__B!$D$156</f>
        <v>6</v>
      </c>
      <c r="E156" s="102" t="n">
        <f aca="false">L__B!$E$156</f>
        <v>155</v>
      </c>
      <c r="F156" s="103" t="n">
        <f aca="false">calc!$AN$156</f>
        <v>72.4255275129035</v>
      </c>
      <c r="G156" s="103" t="n">
        <f aca="false">IF(ABS(F156-F155)&lt;100,F156,"")</f>
        <v>72.4255275129035</v>
      </c>
      <c r="H156" s="16" t="n">
        <f aca="false">calc!$X$156</f>
        <v>122.650487760093</v>
      </c>
      <c r="I156" s="104" t="n">
        <f aca="false">IF(ABS(H156-H155)&lt;100,H156,"")</f>
        <v>122.650487760093</v>
      </c>
      <c r="J156" s="6" t="n">
        <f aca="false">calc!$Z$156</f>
        <v>4.93675874898994</v>
      </c>
      <c r="K156" s="16" t="n">
        <f aca="false">10*J156</f>
        <v>49.3675874898994</v>
      </c>
      <c r="L156" s="6" t="str">
        <f aca="false">IF(ABS(H156-F156)/17.4&lt;1,(H156-F156)/17.4,"")</f>
        <v/>
      </c>
      <c r="M156" s="6" t="str">
        <f aca="false">IF(ABS(J156)/1.58&lt;1,J156/1.58/1.58,"")</f>
        <v/>
      </c>
      <c r="N156" s="6" t="str">
        <f aca="false">IF(OR(L156="",M156=""),"",ABS(L156)+ABS(M156))</f>
        <v/>
      </c>
      <c r="O156" s="3" t="str">
        <f aca="false">IF(OR(L156="",M156=""),"","SE?")</f>
        <v/>
      </c>
    </row>
    <row r="157" customFormat="false" ht="17" hidden="false" customHeight="true" outlineLevel="0" collapsed="false">
      <c r="C157" s="2" t="n">
        <f aca="false">L__B!$C$157</f>
        <v>5</v>
      </c>
      <c r="D157" s="2" t="n">
        <f aca="false">L__B!$D$157</f>
        <v>6</v>
      </c>
      <c r="E157" s="102" t="n">
        <f aca="false">L__B!$E$157</f>
        <v>156</v>
      </c>
      <c r="F157" s="103" t="n">
        <f aca="false">calc!$AN$157</f>
        <v>73.4111748767282</v>
      </c>
      <c r="G157" s="103" t="n">
        <f aca="false">IF(ABS(F157-F156)&lt;100,F157,"")</f>
        <v>73.4111748767282</v>
      </c>
      <c r="H157" s="16" t="n">
        <f aca="false">calc!$X$157</f>
        <v>134.630193046802</v>
      </c>
      <c r="I157" s="104" t="n">
        <f aca="false">IF(ABS(H157-H156)&lt;100,H157,"")</f>
        <v>134.630193046802</v>
      </c>
      <c r="J157" s="6" t="n">
        <f aca="false">calc!$Z$157</f>
        <v>5.19376740840318</v>
      </c>
      <c r="K157" s="16" t="n">
        <f aca="false">10*J157</f>
        <v>51.9376740840318</v>
      </c>
      <c r="L157" s="6" t="str">
        <f aca="false">IF(ABS(H157-F157)/17.4&lt;1,(H157-F157)/17.4,"")</f>
        <v/>
      </c>
      <c r="M157" s="6" t="str">
        <f aca="false">IF(ABS(J157)/1.58&lt;1,J157/1.58/1.58,"")</f>
        <v/>
      </c>
      <c r="N157" s="6" t="str">
        <f aca="false">IF(OR(L157="",M157=""),"",ABS(L157)+ABS(M157))</f>
        <v/>
      </c>
      <c r="O157" s="3" t="str">
        <f aca="false">IF(OR(L157="",M157=""),"","SE?")</f>
        <v/>
      </c>
    </row>
    <row r="158" customFormat="false" ht="17" hidden="false" customHeight="true" outlineLevel="0" collapsed="false">
      <c r="C158" s="2" t="n">
        <f aca="false">L__B!$C$158</f>
        <v>6</v>
      </c>
      <c r="D158" s="2" t="n">
        <f aca="false">L__B!$D$158</f>
        <v>6</v>
      </c>
      <c r="E158" s="102" t="n">
        <f aca="false">L__B!$E$158</f>
        <v>157</v>
      </c>
      <c r="F158" s="103" t="n">
        <f aca="false">calc!$AN$158</f>
        <v>74.3968222405565</v>
      </c>
      <c r="G158" s="103" t="n">
        <f aca="false">IF(ABS(F158-F157)&lt;100,F158,"")</f>
        <v>74.3968222405565</v>
      </c>
      <c r="H158" s="16" t="n">
        <f aca="false">calc!$X$158</f>
        <v>146.758045430266</v>
      </c>
      <c r="I158" s="104" t="n">
        <f aca="false">IF(ABS(H158-H157)&lt;100,H158,"")</f>
        <v>146.758045430266</v>
      </c>
      <c r="J158" s="6" t="n">
        <f aca="false">calc!$Z$158</f>
        <v>5.22475772171411</v>
      </c>
      <c r="K158" s="16" t="n">
        <f aca="false">10*J158</f>
        <v>52.2475772171411</v>
      </c>
      <c r="L158" s="6" t="str">
        <f aca="false">IF(ABS(H158-F158)/17.4&lt;1,(H158-F158)/17.4,"")</f>
        <v/>
      </c>
      <c r="M158" s="6" t="str">
        <f aca="false">IF(ABS(J158)/1.58&lt;1,J158/1.58/1.58,"")</f>
        <v/>
      </c>
      <c r="N158" s="6" t="str">
        <f aca="false">IF(OR(L158="",M158=""),"",ABS(L158)+ABS(M158))</f>
        <v/>
      </c>
      <c r="O158" s="3" t="str">
        <f aca="false">IF(OR(L158="",M158=""),"","SE?")</f>
        <v/>
      </c>
    </row>
    <row r="159" customFormat="false" ht="17" hidden="false" customHeight="true" outlineLevel="0" collapsed="false">
      <c r="C159" s="2" t="n">
        <f aca="false">L__B!$C$159</f>
        <v>7</v>
      </c>
      <c r="D159" s="2" t="n">
        <f aca="false">L__B!$D$159</f>
        <v>6</v>
      </c>
      <c r="E159" s="102" t="n">
        <f aca="false">L__B!$E$159</f>
        <v>158</v>
      </c>
      <c r="F159" s="103" t="n">
        <f aca="false">calc!$AN$159</f>
        <v>75.382469604383</v>
      </c>
      <c r="G159" s="103" t="n">
        <f aca="false">IF(ABS(F159-F158)&lt;100,F159,"")</f>
        <v>75.382469604383</v>
      </c>
      <c r="H159" s="16" t="n">
        <f aca="false">calc!$X$159</f>
        <v>159.097813504251</v>
      </c>
      <c r="I159" s="104" t="n">
        <f aca="false">IF(ABS(H159-H158)&lt;100,H159,"")</f>
        <v>159.097813504251</v>
      </c>
      <c r="J159" s="6" t="n">
        <f aca="false">calc!$Z$159</f>
        <v>5.01808838026788</v>
      </c>
      <c r="K159" s="16" t="n">
        <f aca="false">10*J159</f>
        <v>50.1808838026788</v>
      </c>
      <c r="L159" s="6" t="str">
        <f aca="false">IF(ABS(H159-F159)/17.4&lt;1,(H159-F159)/17.4,"")</f>
        <v/>
      </c>
      <c r="M159" s="6" t="str">
        <f aca="false">IF(ABS(J159)/1.58&lt;1,J159/1.58/1.58,"")</f>
        <v/>
      </c>
      <c r="N159" s="6" t="str">
        <f aca="false">IF(OR(L159="",M159=""),"",ABS(L159)+ABS(M159))</f>
        <v/>
      </c>
      <c r="O159" s="3" t="str">
        <f aca="false">IF(OR(L159="",M159=""),"","SE?")</f>
        <v/>
      </c>
    </row>
    <row r="160" customFormat="false" ht="17" hidden="false" customHeight="true" outlineLevel="0" collapsed="false">
      <c r="C160" s="2" t="n">
        <f aca="false">L__B!$C$160</f>
        <v>8</v>
      </c>
      <c r="D160" s="2" t="n">
        <f aca="false">L__B!$D$160</f>
        <v>6</v>
      </c>
      <c r="E160" s="102" t="n">
        <f aca="false">L__B!$E$160</f>
        <v>159</v>
      </c>
      <c r="F160" s="103" t="n">
        <f aca="false">calc!$AN$160</f>
        <v>76.3681169682131</v>
      </c>
      <c r="G160" s="103" t="n">
        <f aca="false">IF(ABS(F160-F159)&lt;100,F160,"")</f>
        <v>76.3681169682131</v>
      </c>
      <c r="H160" s="16" t="n">
        <f aca="false">calc!$X$160</f>
        <v>171.720801356993</v>
      </c>
      <c r="I160" s="104" t="n">
        <f aca="false">IF(ABS(H160-H159)&lt;100,H160,"")</f>
        <v>171.720801356993</v>
      </c>
      <c r="J160" s="6" t="n">
        <f aca="false">calc!$Z$160</f>
        <v>4.56714633029515</v>
      </c>
      <c r="K160" s="16" t="n">
        <f aca="false">10*J160</f>
        <v>45.6714633029515</v>
      </c>
      <c r="L160" s="6" t="str">
        <f aca="false">IF(ABS(H160-F160)/17.4&lt;1,(H160-F160)/17.4,"")</f>
        <v/>
      </c>
      <c r="M160" s="6" t="str">
        <f aca="false">IF(ABS(J160)/1.58&lt;1,J160/1.58/1.58,"")</f>
        <v/>
      </c>
      <c r="N160" s="6" t="str">
        <f aca="false">IF(OR(L160="",M160=""),"",ABS(L160)+ABS(M160))</f>
        <v/>
      </c>
      <c r="O160" s="3" t="str">
        <f aca="false">IF(OR(L160="",M160=""),"","SE?")</f>
        <v/>
      </c>
    </row>
    <row r="161" customFormat="false" ht="17" hidden="false" customHeight="true" outlineLevel="0" collapsed="false">
      <c r="C161" s="2" t="n">
        <f aca="false">L__B!$C$161</f>
        <v>9</v>
      </c>
      <c r="D161" s="2" t="n">
        <f aca="false">L__B!$D$161</f>
        <v>6</v>
      </c>
      <c r="E161" s="102" t="n">
        <f aca="false">L__B!$E$161</f>
        <v>160</v>
      </c>
      <c r="F161" s="103" t="n">
        <f aca="false">calc!$AN$161</f>
        <v>77.3537643320397</v>
      </c>
      <c r="G161" s="103" t="n">
        <f aca="false">IF(ABS(F161-F160)&lt;100,F161,"")</f>
        <v>77.3537643320397</v>
      </c>
      <c r="H161" s="16" t="n">
        <f aca="false">calc!$X$161</f>
        <v>184.698993880805</v>
      </c>
      <c r="I161" s="104" t="n">
        <f aca="false">IF(ABS(H161-H160)&lt;100,H161,"")</f>
        <v>184.698993880805</v>
      </c>
      <c r="J161" s="6" t="n">
        <f aca="false">calc!$Z$161</f>
        <v>3.87271175229072</v>
      </c>
      <c r="K161" s="16" t="n">
        <f aca="false">10*J161</f>
        <v>38.7271175229072</v>
      </c>
      <c r="L161" s="6" t="str">
        <f aca="false">IF(ABS(H161-F161)/17.4&lt;1,(H161-F161)/17.4,"")</f>
        <v/>
      </c>
      <c r="M161" s="6" t="str">
        <f aca="false">IF(ABS(J161)/1.58&lt;1,J161/1.58/1.58,"")</f>
        <v/>
      </c>
      <c r="N161" s="6" t="str">
        <f aca="false">IF(OR(L161="",M161=""),"",ABS(L161)+ABS(M161))</f>
        <v/>
      </c>
      <c r="O161" s="3" t="str">
        <f aca="false">IF(OR(L161="",M161=""),"","SE?")</f>
        <v/>
      </c>
    </row>
    <row r="162" customFormat="false" ht="17" hidden="false" customHeight="true" outlineLevel="0" collapsed="false">
      <c r="C162" s="2" t="n">
        <f aca="false">L__B!$C$162</f>
        <v>10</v>
      </c>
      <c r="D162" s="2" t="n">
        <f aca="false">L__B!$D$162</f>
        <v>6</v>
      </c>
      <c r="E162" s="102" t="n">
        <f aca="false">L__B!$E$162</f>
        <v>161</v>
      </c>
      <c r="F162" s="103" t="n">
        <f aca="false">calc!$AN$162</f>
        <v>78.339411695868</v>
      </c>
      <c r="G162" s="103" t="n">
        <f aca="false">IF(ABS(F162-F161)&lt;100,F162,"")</f>
        <v>78.339411695868</v>
      </c>
      <c r="H162" s="16" t="n">
        <f aca="false">calc!$X$162</f>
        <v>198.093560919627</v>
      </c>
      <c r="I162" s="104" t="n">
        <f aca="false">IF(ABS(H162-H161)&lt;100,H162,"")</f>
        <v>198.093560919627</v>
      </c>
      <c r="J162" s="6" t="n">
        <f aca="false">calc!$Z$162</f>
        <v>2.94740395031527</v>
      </c>
      <c r="K162" s="16" t="n">
        <f aca="false">10*J162</f>
        <v>29.4740395031527</v>
      </c>
      <c r="L162" s="6" t="str">
        <f aca="false">IF(ABS(H162-F162)/17.4&lt;1,(H162-F162)/17.4,"")</f>
        <v/>
      </c>
      <c r="M162" s="6" t="str">
        <f aca="false">IF(ABS(J162)/1.58&lt;1,J162/1.58/1.58,"")</f>
        <v/>
      </c>
      <c r="N162" s="6" t="str">
        <f aca="false">IF(OR(L162="",M162=""),"",ABS(L162)+ABS(M162))</f>
        <v/>
      </c>
      <c r="O162" s="3" t="str">
        <f aca="false">IF(OR(L162="",M162=""),"","SE?")</f>
        <v/>
      </c>
    </row>
    <row r="163" customFormat="false" ht="17" hidden="false" customHeight="true" outlineLevel="0" collapsed="false">
      <c r="C163" s="2" t="n">
        <f aca="false">L__B!$C$163</f>
        <v>11</v>
      </c>
      <c r="D163" s="2" t="n">
        <f aca="false">L__B!$D$163</f>
        <v>6</v>
      </c>
      <c r="E163" s="102" t="n">
        <f aca="false">L__B!$E$163</f>
        <v>162</v>
      </c>
      <c r="F163" s="103" t="n">
        <f aca="false">calc!$AN$163</f>
        <v>79.3250590596981</v>
      </c>
      <c r="G163" s="103" t="n">
        <f aca="false">IF(ABS(F163-F162)&lt;100,F163,"")</f>
        <v>79.3250590596981</v>
      </c>
      <c r="H163" s="16" t="n">
        <f aca="false">calc!$X$163</f>
        <v>211.940737645713</v>
      </c>
      <c r="I163" s="104" t="n">
        <f aca="false">IF(ABS(H163-H162)&lt;100,H163,"")</f>
        <v>211.940737645713</v>
      </c>
      <c r="J163" s="6" t="n">
        <f aca="false">calc!$Z$163</f>
        <v>1.82163288576028</v>
      </c>
      <c r="K163" s="16" t="n">
        <f aca="false">10*J163</f>
        <v>18.2163288576028</v>
      </c>
      <c r="L163" s="6" t="str">
        <f aca="false">IF(ABS(H163-F163)/17.4&lt;1,(H163-F163)/17.4,"")</f>
        <v/>
      </c>
      <c r="M163" s="6" t="str">
        <f aca="false">IF(ABS(J163)/1.58&lt;1,J163/1.58/1.58,"")</f>
        <v/>
      </c>
      <c r="N163" s="6" t="str">
        <f aca="false">IF(OR(L163="",M163=""),"",ABS(L163)+ABS(M163))</f>
        <v/>
      </c>
      <c r="O163" s="3" t="str">
        <f aca="false">IF(OR(L163="",M163=""),"","SE?")</f>
        <v/>
      </c>
    </row>
    <row r="164" customFormat="false" ht="17" hidden="false" customHeight="true" outlineLevel="0" collapsed="false">
      <c r="C164" s="2" t="n">
        <f aca="false">L__B!$C$164</f>
        <v>12</v>
      </c>
      <c r="D164" s="2" t="n">
        <f aca="false">L__B!$D$164</f>
        <v>6</v>
      </c>
      <c r="E164" s="102" t="n">
        <f aca="false">L__B!$E$164</f>
        <v>163</v>
      </c>
      <c r="F164" s="103" t="n">
        <f aca="false">calc!$AN$164</f>
        <v>80.3107064235283</v>
      </c>
      <c r="G164" s="103" t="n">
        <f aca="false">IF(ABS(F164-F163)&lt;100,F164,"")</f>
        <v>80.3107064235283</v>
      </c>
      <c r="H164" s="16" t="n">
        <f aca="false">calc!$X$164</f>
        <v>226.238554438698</v>
      </c>
      <c r="I164" s="104" t="n">
        <f aca="false">IF(ABS(H164-H163)&lt;100,H164,"")</f>
        <v>226.238554438698</v>
      </c>
      <c r="J164" s="6" t="n">
        <f aca="false">calc!$Z$164</f>
        <v>0.54903529151516</v>
      </c>
      <c r="K164" s="16" t="n">
        <f aca="false">10*J164</f>
        <v>5.4903529151516</v>
      </c>
      <c r="L164" s="6" t="str">
        <f aca="false">IF(ABS(H164-F164)/17.4&lt;1,(H164-F164)/17.4,"")</f>
        <v/>
      </c>
      <c r="M164" s="6" t="n">
        <f aca="false">IF(ABS(J164)/1.58&lt;1,J164/1.58/1.58,"")</f>
        <v>0.219930816982519</v>
      </c>
      <c r="N164" s="6" t="str">
        <f aca="false">IF(OR(L164="",M164=""),"",ABS(L164)+ABS(M164))</f>
        <v/>
      </c>
      <c r="O164" s="3" t="str">
        <f aca="false">IF(OR(L164="",M164=""),"","SE?")</f>
        <v/>
      </c>
    </row>
    <row r="165" customFormat="false" ht="17" hidden="false" customHeight="true" outlineLevel="0" collapsed="false">
      <c r="C165" s="2" t="n">
        <f aca="false">L__B!$C$165</f>
        <v>13</v>
      </c>
      <c r="D165" s="2" t="n">
        <f aca="false">L__B!$D$165</f>
        <v>6</v>
      </c>
      <c r="E165" s="102" t="n">
        <f aca="false">L__B!$E$165</f>
        <v>164</v>
      </c>
      <c r="F165" s="103" t="n">
        <f aca="false">calc!$AN$165</f>
        <v>81.2963537873602</v>
      </c>
      <c r="G165" s="103" t="n">
        <f aca="false">IF(ABS(F165-F164)&lt;100,F165,"")</f>
        <v>81.2963537873602</v>
      </c>
      <c r="H165" s="16" t="n">
        <f aca="false">calc!$X$165</f>
        <v>240.938364300965</v>
      </c>
      <c r="I165" s="104" t="n">
        <f aca="false">IF(ABS(H165-H164)&lt;100,H165,"")</f>
        <v>240.938364300965</v>
      </c>
      <c r="J165" s="6" t="n">
        <f aca="false">calc!$Z$165</f>
        <v>-0.791802300617855</v>
      </c>
      <c r="K165" s="16" t="n">
        <f aca="false">10*J165</f>
        <v>-7.91802300617855</v>
      </c>
      <c r="L165" s="6" t="str">
        <f aca="false">IF(ABS(H165-F165)/17.4&lt;1,(H165-F165)/17.4,"")</f>
        <v/>
      </c>
      <c r="M165" s="6" t="n">
        <f aca="false">IF(ABS(J165)/1.58&lt;1,J165/1.58/1.58,"")</f>
        <v>-0.317177656071886</v>
      </c>
      <c r="N165" s="6" t="str">
        <f aca="false">IF(OR(L165="",M165=""),"",ABS(L165)+ABS(M165))</f>
        <v/>
      </c>
      <c r="O165" s="3" t="str">
        <f aca="false">IF(OR(L165="",M165=""),"","SE?")</f>
        <v/>
      </c>
    </row>
    <row r="166" customFormat="false" ht="17" hidden="false" customHeight="true" outlineLevel="0" collapsed="false">
      <c r="C166" s="2" t="n">
        <f aca="false">L__B!$C$166</f>
        <v>14</v>
      </c>
      <c r="D166" s="2" t="n">
        <f aca="false">L__B!$D$166</f>
        <v>6</v>
      </c>
      <c r="E166" s="102" t="n">
        <f aca="false">L__B!$E$166</f>
        <v>165</v>
      </c>
      <c r="F166" s="103" t="n">
        <f aca="false">calc!$AN$166</f>
        <v>82.2820011511903</v>
      </c>
      <c r="G166" s="103" t="n">
        <f aca="false">IF(ABS(F166-F165)&lt;100,F166,"")</f>
        <v>82.2820011511903</v>
      </c>
      <c r="H166" s="16" t="n">
        <f aca="false">calc!$X$166</f>
        <v>255.944313026261</v>
      </c>
      <c r="I166" s="104" t="n">
        <f aca="false">IF(ABS(H166-H165)&lt;100,H166,"")</f>
        <v>255.944313026261</v>
      </c>
      <c r="J166" s="6" t="n">
        <f aca="false">calc!$Z$166</f>
        <v>-2.1023572438209</v>
      </c>
      <c r="K166" s="16" t="n">
        <f aca="false">10*J166</f>
        <v>-21.023572438209</v>
      </c>
      <c r="L166" s="6" t="str">
        <f aca="false">IF(ABS(H166-F166)/17.4&lt;1,(H166-F166)/17.4,"")</f>
        <v/>
      </c>
      <c r="M166" s="6" t="str">
        <f aca="false">IF(ABS(J166)/1.58&lt;1,J166/1.58/1.58,"")</f>
        <v/>
      </c>
      <c r="N166" s="6" t="str">
        <f aca="false">IF(OR(L166="",M166=""),"",ABS(L166)+ABS(M166))</f>
        <v/>
      </c>
      <c r="O166" s="3" t="str">
        <f aca="false">IF(OR(L166="",M166=""),"","SE?")</f>
        <v/>
      </c>
    </row>
    <row r="167" customFormat="false" ht="17" hidden="false" customHeight="true" outlineLevel="0" collapsed="false">
      <c r="C167" s="2" t="n">
        <f aca="false">L__B!$C$167</f>
        <v>15</v>
      </c>
      <c r="D167" s="2" t="n">
        <f aca="false">L__B!$D$167</f>
        <v>6</v>
      </c>
      <c r="E167" s="102" t="n">
        <f aca="false">L__B!$E$167</f>
        <v>166</v>
      </c>
      <c r="F167" s="103" t="n">
        <f aca="false">calc!$AN$167</f>
        <v>83.2676485150223</v>
      </c>
      <c r="G167" s="103" t="n">
        <f aca="false">IF(ABS(F167-F166)&lt;100,F167,"")</f>
        <v>83.2676485150223</v>
      </c>
      <c r="H167" s="16" t="n">
        <f aca="false">calc!$X$167</f>
        <v>271.121976799794</v>
      </c>
      <c r="I167" s="104" t="n">
        <f aca="false">IF(ABS(H167-H166)&lt;100,H167,"")</f>
        <v>271.121976799794</v>
      </c>
      <c r="J167" s="6" t="n">
        <f aca="false">calc!$Z$167</f>
        <v>-3.27672203830064</v>
      </c>
      <c r="K167" s="16" t="n">
        <f aca="false">10*J167</f>
        <v>-32.7672203830064</v>
      </c>
      <c r="L167" s="6" t="str">
        <f aca="false">IF(ABS(H167-F167)/17.4&lt;1,(H167-F167)/17.4,"")</f>
        <v/>
      </c>
      <c r="M167" s="6" t="str">
        <f aca="false">IF(ABS(J167)/1.58&lt;1,J167/1.58/1.58,"")</f>
        <v/>
      </c>
      <c r="N167" s="6" t="str">
        <f aca="false">IF(OR(L167="",M167=""),"",ABS(L167)+ABS(M167))</f>
        <v/>
      </c>
      <c r="O167" s="3" t="str">
        <f aca="false">IF(OR(L167="",M167=""),"","SE?")</f>
        <v/>
      </c>
    </row>
    <row r="168" customFormat="false" ht="17" hidden="false" customHeight="true" outlineLevel="0" collapsed="false">
      <c r="C168" s="2" t="n">
        <f aca="false">L__B!$C$168</f>
        <v>16</v>
      </c>
      <c r="D168" s="2" t="n">
        <f aca="false">L__B!$D$168</f>
        <v>6</v>
      </c>
      <c r="E168" s="102" t="n">
        <f aca="false">L__B!$E$168</f>
        <v>167</v>
      </c>
      <c r="F168" s="103" t="n">
        <f aca="false">calc!$AN$168</f>
        <v>84.2532958788524</v>
      </c>
      <c r="G168" s="103" t="n">
        <f aca="false">IF(ABS(F168-F167)&lt;100,F168,"")</f>
        <v>84.2532958788524</v>
      </c>
      <c r="H168" s="16" t="n">
        <f aca="false">calc!$X$168</f>
        <v>286.314932677776</v>
      </c>
      <c r="I168" s="104" t="n">
        <f aca="false">IF(ABS(H168-H167)&lt;100,H168,"")</f>
        <v>286.314932677776</v>
      </c>
      <c r="J168" s="6" t="n">
        <f aca="false">calc!$Z$168</f>
        <v>-4.21886963858372</v>
      </c>
      <c r="K168" s="16" t="n">
        <f aca="false">10*J168</f>
        <v>-42.1886963858372</v>
      </c>
      <c r="L168" s="6" t="str">
        <f aca="false">IF(ABS(H168-F168)/17.4&lt;1,(H168-F168)/17.4,"")</f>
        <v/>
      </c>
      <c r="M168" s="6" t="str">
        <f aca="false">IF(ABS(J168)/1.58&lt;1,J168/1.58/1.58,"")</f>
        <v/>
      </c>
      <c r="N168" s="6" t="str">
        <f aca="false">IF(OR(L168="",M168=""),"",ABS(L168)+ABS(M168))</f>
        <v/>
      </c>
      <c r="O168" s="3" t="str">
        <f aca="false">IF(OR(L168="",M168=""),"","SE?")</f>
        <v/>
      </c>
    </row>
    <row r="169" customFormat="false" ht="17" hidden="false" customHeight="true" outlineLevel="0" collapsed="false">
      <c r="C169" s="2" t="n">
        <f aca="false">L__B!$C$169</f>
        <v>17</v>
      </c>
      <c r="D169" s="2" t="n">
        <f aca="false">L__B!$D$169</f>
        <v>6</v>
      </c>
      <c r="E169" s="102" t="n">
        <f aca="false">L__B!$E$169</f>
        <v>168</v>
      </c>
      <c r="F169" s="103" t="n">
        <f aca="false">calc!$AN$169</f>
        <v>85.2389432426862</v>
      </c>
      <c r="G169" s="103" t="n">
        <f aca="false">IF(ABS(F169-F168)&lt;100,F169,"")</f>
        <v>85.2389432426862</v>
      </c>
      <c r="H169" s="16" t="n">
        <f aca="false">calc!$X$169</f>
        <v>301.365826439542</v>
      </c>
      <c r="I169" s="104" t="n">
        <f aca="false">IF(ABS(H169-H168)&lt;100,H169,"")</f>
        <v>301.365826439542</v>
      </c>
      <c r="J169" s="6" t="n">
        <f aca="false">calc!$Z$169</f>
        <v>-4.85890340043503</v>
      </c>
      <c r="K169" s="16" t="n">
        <f aca="false">10*J169</f>
        <v>-48.5890340043503</v>
      </c>
      <c r="L169" s="6" t="str">
        <f aca="false">IF(ABS(H169-F169)/17.4&lt;1,(H169-F169)/17.4,"")</f>
        <v/>
      </c>
      <c r="M169" s="6" t="str">
        <f aca="false">IF(ABS(J169)/1.58&lt;1,J169/1.58/1.58,"")</f>
        <v/>
      </c>
      <c r="N169" s="6" t="str">
        <f aca="false">IF(OR(L169="",M169=""),"",ABS(L169)+ABS(M169))</f>
        <v/>
      </c>
      <c r="O169" s="3" t="str">
        <f aca="false">IF(OR(L169="",M169=""),"","SE?")</f>
        <v/>
      </c>
    </row>
    <row r="170" customFormat="false" ht="17" hidden="false" customHeight="true" outlineLevel="0" collapsed="false">
      <c r="C170" s="2" t="n">
        <f aca="false">L__B!$C$170</f>
        <v>18</v>
      </c>
      <c r="D170" s="2" t="n">
        <f aca="false">L__B!$D$170</f>
        <v>6</v>
      </c>
      <c r="E170" s="102" t="n">
        <f aca="false">L__B!$E$170</f>
        <v>169</v>
      </c>
      <c r="F170" s="103" t="n">
        <f aca="false">calc!$AN$170</f>
        <v>86.2245906065182</v>
      </c>
      <c r="G170" s="103" t="n">
        <f aca="false">IF(ABS(F170-F169)&lt;100,F170,"")</f>
        <v>86.2245906065182</v>
      </c>
      <c r="H170" s="16" t="n">
        <f aca="false">calc!$X$170</f>
        <v>316.137285316882</v>
      </c>
      <c r="I170" s="104" t="n">
        <f aca="false">IF(ABS(H170-H169)&lt;100,H170,"")</f>
        <v>316.137285316882</v>
      </c>
      <c r="J170" s="6" t="n">
        <f aca="false">calc!$Z$170</f>
        <v>-5.16255104999251</v>
      </c>
      <c r="K170" s="16" t="n">
        <f aca="false">10*J170</f>
        <v>-51.6255104999251</v>
      </c>
      <c r="L170" s="6" t="str">
        <f aca="false">IF(ABS(H170-F170)/17.4&lt;1,(H170-F170)/17.4,"")</f>
        <v/>
      </c>
      <c r="M170" s="6" t="str">
        <f aca="false">IF(ABS(J170)/1.58&lt;1,J170/1.58/1.58,"")</f>
        <v/>
      </c>
      <c r="N170" s="6" t="str">
        <f aca="false">IF(OR(L170="",M170=""),"",ABS(L170)+ABS(M170))</f>
        <v/>
      </c>
      <c r="O170" s="3" t="str">
        <f aca="false">IF(OR(L170="",M170=""),"","SE?")</f>
        <v/>
      </c>
    </row>
    <row r="171" customFormat="false" ht="17" hidden="false" customHeight="true" outlineLevel="0" collapsed="false">
      <c r="C171" s="2" t="n">
        <f aca="false">L__B!$C$171</f>
        <v>19</v>
      </c>
      <c r="D171" s="2" t="n">
        <f aca="false">L__B!$D$171</f>
        <v>6</v>
      </c>
      <c r="E171" s="102" t="n">
        <f aca="false">L__B!$E$171</f>
        <v>170</v>
      </c>
      <c r="F171" s="103" t="n">
        <f aca="false">calc!$AN$171</f>
        <v>87.2102379703501</v>
      </c>
      <c r="G171" s="103" t="n">
        <f aca="false">IF(ABS(F171-F170)&lt;100,F171,"")</f>
        <v>87.2102379703501</v>
      </c>
      <c r="H171" s="16" t="n">
        <f aca="false">calc!$X$171</f>
        <v>330.528179152156</v>
      </c>
      <c r="I171" s="104" t="n">
        <f aca="false">IF(ABS(H171-H170)&lt;100,H171,"")</f>
        <v>330.528179152156</v>
      </c>
      <c r="J171" s="6" t="n">
        <f aca="false">calc!$Z$171</f>
        <v>-5.13131310685563</v>
      </c>
      <c r="K171" s="16" t="n">
        <f aca="false">10*J171</f>
        <v>-51.3131310685563</v>
      </c>
      <c r="L171" s="6" t="str">
        <f aca="false">IF(ABS(H171-F171)/17.4&lt;1,(H171-F171)/17.4,"")</f>
        <v/>
      </c>
      <c r="M171" s="6" t="str">
        <f aca="false">IF(ABS(J171)/1.58&lt;1,J171/1.58/1.58,"")</f>
        <v/>
      </c>
      <c r="N171" s="6" t="str">
        <f aca="false">IF(OR(L171="",M171=""),"",ABS(L171)+ABS(M171))</f>
        <v/>
      </c>
      <c r="O171" s="3" t="str">
        <f aca="false">IF(OR(L171="",M171=""),"","SE?")</f>
        <v/>
      </c>
    </row>
    <row r="172" customFormat="false" ht="17" hidden="false" customHeight="true" outlineLevel="0" collapsed="false">
      <c r="C172" s="2" t="n">
        <f aca="false">L__B!$C$172</f>
        <v>20</v>
      </c>
      <c r="D172" s="2" t="n">
        <f aca="false">L__B!$D$172</f>
        <v>6</v>
      </c>
      <c r="E172" s="102" t="n">
        <f aca="false">L__B!$E$172</f>
        <v>171</v>
      </c>
      <c r="F172" s="103" t="n">
        <f aca="false">calc!$AN$172</f>
        <v>88.1958853341821</v>
      </c>
      <c r="G172" s="103" t="n">
        <f aca="false">IF(ABS(F172-F171)&lt;100,F172,"")</f>
        <v>88.1958853341821</v>
      </c>
      <c r="H172" s="16" t="n">
        <f aca="false">calc!$X$172</f>
        <v>344.482176452476</v>
      </c>
      <c r="I172" s="104" t="n">
        <f aca="false">IF(ABS(H172-H171)&lt;100,H172,"")</f>
        <v>344.482176452476</v>
      </c>
      <c r="J172" s="6" t="n">
        <f aca="false">calc!$Z$172</f>
        <v>-4.79492249585939</v>
      </c>
      <c r="K172" s="16" t="n">
        <f aca="false">10*J172</f>
        <v>-47.9492249585939</v>
      </c>
      <c r="L172" s="6" t="str">
        <f aca="false">IF(ABS(H172-F172)/17.4&lt;1,(H172-F172)/17.4,"")</f>
        <v/>
      </c>
      <c r="M172" s="6" t="str">
        <f aca="false">IF(ABS(J172)/1.58&lt;1,J172/1.58/1.58,"")</f>
        <v/>
      </c>
      <c r="N172" s="6" t="str">
        <f aca="false">IF(OR(L172="",M172=""),"",ABS(L172)+ABS(M172))</f>
        <v/>
      </c>
      <c r="O172" s="3" t="str">
        <f aca="false">IF(OR(L172="",M172=""),"","SE?")</f>
        <v/>
      </c>
    </row>
    <row r="173" customFormat="false" ht="17" hidden="false" customHeight="true" outlineLevel="0" collapsed="false">
      <c r="C173" s="2" t="n">
        <f aca="false">L__B!$C$173</f>
        <v>21</v>
      </c>
      <c r="D173" s="2" t="n">
        <f aca="false">L__B!$D$173</f>
        <v>6</v>
      </c>
      <c r="E173" s="102" t="n">
        <f aca="false">L__B!$E$173</f>
        <v>172</v>
      </c>
      <c r="F173" s="103" t="n">
        <f aca="false">calc!$AN$173</f>
        <v>89.1815326980159</v>
      </c>
      <c r="G173" s="103" t="n">
        <f aca="false">IF(ABS(F173-F172)&lt;100,F173,"")</f>
        <v>89.1815326980159</v>
      </c>
      <c r="H173" s="16" t="n">
        <f aca="false">calc!$X$173</f>
        <v>357.987751152452</v>
      </c>
      <c r="I173" s="104" t="n">
        <f aca="false">IF(ABS(H173-H172)&lt;100,H173,"")</f>
        <v>357.987751152452</v>
      </c>
      <c r="J173" s="6" t="n">
        <f aca="false">calc!$Z$173</f>
        <v>-4.2004537313907</v>
      </c>
      <c r="K173" s="16" t="n">
        <f aca="false">10*J173</f>
        <v>-42.004537313907</v>
      </c>
      <c r="L173" s="6" t="str">
        <f aca="false">IF(ABS(H173-F173)/17.4&lt;1,(H173-F173)/17.4,"")</f>
        <v/>
      </c>
      <c r="M173" s="6" t="str">
        <f aca="false">IF(ABS(J173)/1.58&lt;1,J173/1.58/1.58,"")</f>
        <v/>
      </c>
      <c r="N173" s="6" t="str">
        <f aca="false">IF(OR(L173="",M173=""),"",ABS(L173)+ABS(M173))</f>
        <v/>
      </c>
      <c r="O173" s="3" t="str">
        <f aca="false">IF(OR(L173="",M173=""),"","SE?")</f>
        <v/>
      </c>
    </row>
    <row r="174" customFormat="false" ht="17" hidden="false" customHeight="true" outlineLevel="0" collapsed="false">
      <c r="C174" s="2" t="n">
        <f aca="false">L__B!$C$174</f>
        <v>22</v>
      </c>
      <c r="D174" s="2" t="n">
        <f aca="false">L__B!$D$174</f>
        <v>6</v>
      </c>
      <c r="E174" s="102" t="n">
        <f aca="false">L__B!$E$174</f>
        <v>173</v>
      </c>
      <c r="F174" s="103" t="n">
        <f aca="false">calc!$AN$174</f>
        <v>90.1671800618515</v>
      </c>
      <c r="G174" s="103" t="n">
        <f aca="false">IF(ABS(F174-F173)&lt;100,F174,"")</f>
        <v>90.1671800618515</v>
      </c>
      <c r="H174" s="16" t="n">
        <f aca="false">calc!$X$174</f>
        <v>11.071019259918</v>
      </c>
      <c r="I174" s="104" t="str">
        <f aca="false">IF(ABS(H174-H173)&lt;100,H174,"")</f>
        <v/>
      </c>
      <c r="J174" s="6" t="n">
        <f aca="false">calc!$Z$174</f>
        <v>-3.40238791161151</v>
      </c>
      <c r="K174" s="16" t="n">
        <f aca="false">10*J174</f>
        <v>-34.0238791161151</v>
      </c>
      <c r="L174" s="6" t="str">
        <f aca="false">IF(ABS(H174-F174)/17.4&lt;1,(H174-F174)/17.4,"")</f>
        <v/>
      </c>
      <c r="M174" s="6" t="str">
        <f aca="false">IF(ABS(J174)/1.58&lt;1,J174/1.58/1.58,"")</f>
        <v/>
      </c>
      <c r="N174" s="6" t="str">
        <f aca="false">IF(OR(L174="",M174=""),"",ABS(L174)+ABS(M174))</f>
        <v/>
      </c>
      <c r="O174" s="3" t="str">
        <f aca="false">IF(OR(L174="",M174=""),"","SE?")</f>
        <v/>
      </c>
    </row>
    <row r="175" customFormat="false" ht="17" hidden="false" customHeight="true" outlineLevel="0" collapsed="false">
      <c r="C175" s="2" t="n">
        <f aca="false">L__B!$C$175</f>
        <v>23</v>
      </c>
      <c r="D175" s="2" t="n">
        <f aca="false">L__B!$D$175</f>
        <v>6</v>
      </c>
      <c r="E175" s="102" t="n">
        <f aca="false">L__B!$E$175</f>
        <v>174</v>
      </c>
      <c r="F175" s="103" t="n">
        <f aca="false">calc!$AN$175</f>
        <v>91.1528274256853</v>
      </c>
      <c r="G175" s="103" t="n">
        <f aca="false">IF(ABS(F175-F174)&lt;100,F175,"")</f>
        <v>91.1528274256853</v>
      </c>
      <c r="H175" s="16" t="n">
        <f aca="false">calc!$X$175</f>
        <v>23.7843198282792</v>
      </c>
      <c r="I175" s="104" t="n">
        <f aca="false">IF(ABS(H175-H174)&lt;100,H175,"")</f>
        <v>23.7843198282792</v>
      </c>
      <c r="J175" s="6" t="n">
        <f aca="false">calc!$Z$175</f>
        <v>-2.45600935993077</v>
      </c>
      <c r="K175" s="16" t="n">
        <f aca="false">10*J175</f>
        <v>-24.5600935993077</v>
      </c>
      <c r="L175" s="6" t="str">
        <f aca="false">IF(ABS(H175-F175)/17.4&lt;1,(H175-F175)/17.4,"")</f>
        <v/>
      </c>
      <c r="M175" s="6" t="str">
        <f aca="false">IF(ABS(J175)/1.58&lt;1,J175/1.58/1.58,"")</f>
        <v/>
      </c>
      <c r="N175" s="6" t="str">
        <f aca="false">IF(OR(L175="",M175=""),"",ABS(L175)+ABS(M175))</f>
        <v/>
      </c>
      <c r="O175" s="3" t="str">
        <f aca="false">IF(OR(L175="",M175=""),"","SE?")</f>
        <v/>
      </c>
    </row>
    <row r="176" customFormat="false" ht="17" hidden="false" customHeight="true" outlineLevel="0" collapsed="false">
      <c r="C176" s="2" t="n">
        <f aca="false">L__B!$C$176</f>
        <v>24</v>
      </c>
      <c r="D176" s="2" t="n">
        <f aca="false">L__B!$D$176</f>
        <v>6</v>
      </c>
      <c r="E176" s="102" t="n">
        <f aca="false">L__B!$E$176</f>
        <v>175</v>
      </c>
      <c r="F176" s="103" t="n">
        <f aca="false">calc!$AN$176</f>
        <v>92.1384747895208</v>
      </c>
      <c r="G176" s="103" t="n">
        <f aca="false">IF(ABS(F176-F175)&lt;100,F176,"")</f>
        <v>92.1384747895208</v>
      </c>
      <c r="H176" s="16" t="n">
        <f aca="false">calc!$X$176</f>
        <v>36.1939010033167</v>
      </c>
      <c r="I176" s="104" t="n">
        <f aca="false">IF(ABS(H176-H175)&lt;100,H176,"")</f>
        <v>36.1939010033167</v>
      </c>
      <c r="J176" s="6" t="n">
        <f aca="false">calc!$Z$176</f>
        <v>-1.41430294432425</v>
      </c>
      <c r="K176" s="16" t="n">
        <f aca="false">10*J176</f>
        <v>-14.1430294432425</v>
      </c>
      <c r="L176" s="6" t="str">
        <f aca="false">IF(ABS(H176-F176)/17.4&lt;1,(H176-F176)/17.4,"")</f>
        <v/>
      </c>
      <c r="M176" s="6" t="n">
        <f aca="false">IF(ABS(J176)/1.58&lt;1,J176/1.58/1.58,"")</f>
        <v>-0.566536990996737</v>
      </c>
      <c r="N176" s="6" t="str">
        <f aca="false">IF(OR(L176="",M176=""),"",ABS(L176)+ABS(M176))</f>
        <v/>
      </c>
      <c r="O176" s="3" t="str">
        <f aca="false">IF(OR(L176="",M176=""),"","SE?")</f>
        <v/>
      </c>
    </row>
    <row r="177" customFormat="false" ht="17" hidden="false" customHeight="true" outlineLevel="0" collapsed="false">
      <c r="C177" s="2" t="n">
        <f aca="false">L__B!$C$177</f>
        <v>25</v>
      </c>
      <c r="D177" s="2" t="n">
        <f aca="false">L__B!$D$177</f>
        <v>6</v>
      </c>
      <c r="E177" s="102" t="n">
        <f aca="false">L__B!$E$177</f>
        <v>176</v>
      </c>
      <c r="F177" s="103" t="n">
        <f aca="false">calc!$AN$177</f>
        <v>93.1241221533583</v>
      </c>
      <c r="G177" s="103" t="n">
        <f aca="false">IF(ABS(F177-F176)&lt;100,F177,"")</f>
        <v>93.1241221533583</v>
      </c>
      <c r="H177" s="16" t="n">
        <f aca="false">calc!$X$177</f>
        <v>48.3694528160985</v>
      </c>
      <c r="I177" s="104" t="n">
        <f aca="false">IF(ABS(H177-H176)&lt;100,H177,"")</f>
        <v>48.3694528160985</v>
      </c>
      <c r="J177" s="6" t="n">
        <f aca="false">calc!$Z$177</f>
        <v>-0.32717781775095</v>
      </c>
      <c r="K177" s="16" t="n">
        <f aca="false">10*J177</f>
        <v>-3.2717781775095</v>
      </c>
      <c r="L177" s="6" t="str">
        <f aca="false">IF(ABS(H177-F177)/17.4&lt;1,(H177-F177)/17.4,"")</f>
        <v/>
      </c>
      <c r="M177" s="6" t="n">
        <f aca="false">IF(ABS(J177)/1.58&lt;1,J177/1.58/1.58,"")</f>
        <v>-0.131059853289116</v>
      </c>
      <c r="N177" s="6" t="str">
        <f aca="false">IF(OR(L177="",M177=""),"",ABS(L177)+ABS(M177))</f>
        <v/>
      </c>
      <c r="O177" s="3" t="str">
        <f aca="false">IF(OR(L177="",M177=""),"","SE?")</f>
        <v/>
      </c>
    </row>
    <row r="178" customFormat="false" ht="17" hidden="false" customHeight="true" outlineLevel="0" collapsed="false">
      <c r="C178" s="2" t="n">
        <f aca="false">L__B!$C$178</f>
        <v>26</v>
      </c>
      <c r="D178" s="2" t="n">
        <f aca="false">L__B!$D$178</f>
        <v>6</v>
      </c>
      <c r="E178" s="102" t="n">
        <f aca="false">L__B!$E$178</f>
        <v>177</v>
      </c>
      <c r="F178" s="103" t="n">
        <f aca="false">calc!$AN$178</f>
        <v>94.1097695171939</v>
      </c>
      <c r="G178" s="103" t="n">
        <f aca="false">IF(ABS(F178-F177)&lt;100,F178,"")</f>
        <v>94.1097695171939</v>
      </c>
      <c r="H178" s="16" t="n">
        <f aca="false">calc!$X$178</f>
        <v>60.3769446093691</v>
      </c>
      <c r="I178" s="104" t="n">
        <f aca="false">IF(ABS(H178-H177)&lt;100,H178,"")</f>
        <v>60.3769446093691</v>
      </c>
      <c r="J178" s="6" t="n">
        <f aca="false">calc!$Z$178</f>
        <v>0.758406878690889</v>
      </c>
      <c r="K178" s="16" t="n">
        <f aca="false">10*J178</f>
        <v>7.58406878690889</v>
      </c>
      <c r="L178" s="6" t="str">
        <f aca="false">IF(ABS(H178-F178)/17.4&lt;1,(H178-F178)/17.4,"")</f>
        <v/>
      </c>
      <c r="M178" s="6" t="n">
        <f aca="false">IF(ABS(J178)/1.58&lt;1,J178/1.58/1.58,"")</f>
        <v>0.303800223798626</v>
      </c>
      <c r="N178" s="6" t="str">
        <f aca="false">IF(OR(L178="",M178=""),"",ABS(L178)+ABS(M178))</f>
        <v/>
      </c>
      <c r="O178" s="3" t="str">
        <f aca="false">IF(OR(L178="",M178=""),"","SE?")</f>
        <v/>
      </c>
    </row>
    <row r="179" customFormat="false" ht="17" hidden="false" customHeight="true" outlineLevel="0" collapsed="false">
      <c r="C179" s="2" t="n">
        <f aca="false">L__B!$C$179</f>
        <v>27</v>
      </c>
      <c r="D179" s="2" t="n">
        <f aca="false">L__B!$D$179</f>
        <v>6</v>
      </c>
      <c r="E179" s="102" t="n">
        <f aca="false">L__B!$E$179</f>
        <v>178</v>
      </c>
      <c r="F179" s="103" t="n">
        <f aca="false">calc!$AN$179</f>
        <v>95.0954168810313</v>
      </c>
      <c r="G179" s="103" t="n">
        <f aca="false">IF(ABS(F179-F178)&lt;100,F179,"")</f>
        <v>95.0954168810313</v>
      </c>
      <c r="H179" s="16" t="n">
        <f aca="false">calc!$X$179</f>
        <v>72.2748629458748</v>
      </c>
      <c r="I179" s="104" t="n">
        <f aca="false">IF(ABS(H179-H178)&lt;100,H179,"")</f>
        <v>72.2748629458748</v>
      </c>
      <c r="J179" s="6" t="n">
        <f aca="false">calc!$Z$179</f>
        <v>1.7983815088065</v>
      </c>
      <c r="K179" s="16" t="n">
        <f aca="false">10*J179</f>
        <v>17.983815088065</v>
      </c>
      <c r="L179" s="6" t="str">
        <f aca="false">IF(ABS(H179-F179)/17.4&lt;1,(H179-F179)/17.4,"")</f>
        <v/>
      </c>
      <c r="M179" s="6" t="str">
        <f aca="false">IF(ABS(J179)/1.58&lt;1,J179/1.58/1.58,"")</f>
        <v/>
      </c>
      <c r="N179" s="6" t="str">
        <f aca="false">IF(OR(L179="",M179=""),"",ABS(L179)+ABS(M179))</f>
        <v/>
      </c>
      <c r="O179" s="3" t="str">
        <f aca="false">IF(OR(L179="",M179=""),"","SE?")</f>
        <v/>
      </c>
    </row>
    <row r="180" customFormat="false" ht="17" hidden="false" customHeight="true" outlineLevel="0" collapsed="false">
      <c r="C180" s="2" t="n">
        <f aca="false">L__B!$C$180</f>
        <v>28</v>
      </c>
      <c r="D180" s="2" t="n">
        <f aca="false">L__B!$D$180</f>
        <v>6</v>
      </c>
      <c r="E180" s="102" t="n">
        <f aca="false">L__B!$E$180</f>
        <v>179</v>
      </c>
      <c r="F180" s="103" t="n">
        <f aca="false">calc!$AN$180</f>
        <v>96.0810642448669</v>
      </c>
      <c r="G180" s="103" t="n">
        <f aca="false">IF(ABS(F180-F179)&lt;100,F180,"")</f>
        <v>96.0810642448669</v>
      </c>
      <c r="H180" s="16" t="n">
        <f aca="false">calc!$X$180</f>
        <v>84.1130264197101</v>
      </c>
      <c r="I180" s="104" t="n">
        <f aca="false">IF(ABS(H180-H179)&lt;100,H180,"")</f>
        <v>84.1130264197101</v>
      </c>
      <c r="J180" s="6" t="n">
        <f aca="false">calc!$Z$180</f>
        <v>2.75190778611396</v>
      </c>
      <c r="K180" s="16" t="n">
        <f aca="false">10*J180</f>
        <v>27.5190778611396</v>
      </c>
      <c r="L180" s="6" t="n">
        <f aca="false">IF(ABS(H180-F180)/17.4&lt;1,(H180-F180)/17.4,"")</f>
        <v>-0.687818265813608</v>
      </c>
      <c r="M180" s="6" t="str">
        <f aca="false">IF(ABS(J180)/1.58&lt;1,J180/1.58/1.58,"")</f>
        <v/>
      </c>
      <c r="N180" s="6" t="str">
        <f aca="false">IF(OR(L180="",M180=""),"",ABS(L180)+ABS(M180))</f>
        <v/>
      </c>
      <c r="O180" s="3" t="str">
        <f aca="false">IF(OR(L180="",M180=""),"","SE?")</f>
        <v/>
      </c>
    </row>
    <row r="181" customFormat="false" ht="17" hidden="false" customHeight="true" outlineLevel="0" collapsed="false">
      <c r="C181" s="2" t="n">
        <f aca="false">L__B!$C$181</f>
        <v>29</v>
      </c>
      <c r="D181" s="2" t="n">
        <f aca="false">L__B!$D$181</f>
        <v>6</v>
      </c>
      <c r="E181" s="102" t="n">
        <f aca="false">L__B!$E$181</f>
        <v>180</v>
      </c>
      <c r="F181" s="103" t="n">
        <f aca="false">calc!$AN$181</f>
        <v>97.0667116087043</v>
      </c>
      <c r="G181" s="103" t="n">
        <f aca="false">IF(ABS(F181-F180)&lt;100,F181,"")</f>
        <v>97.0667116087043</v>
      </c>
      <c r="H181" s="16" t="n">
        <f aca="false">calc!$X$181</f>
        <v>95.9329264216082</v>
      </c>
      <c r="I181" s="104" t="n">
        <f aca="false">IF(ABS(H181-H180)&lt;100,H181,"")</f>
        <v>95.9329264216082</v>
      </c>
      <c r="J181" s="6" t="n">
        <f aca="false">calc!$Z$181</f>
        <v>3.58202880324654</v>
      </c>
      <c r="K181" s="16" t="n">
        <f aca="false">10*J181</f>
        <v>35.8202880324654</v>
      </c>
      <c r="L181" s="6" t="n">
        <f aca="false">IF(ABS(H181-F181)/17.4&lt;1,(H181-F181)/17.4,"")</f>
        <v>-0.0651600682239151</v>
      </c>
      <c r="M181" s="6" t="str">
        <f aca="false">IF(ABS(J181)/1.58&lt;1,J181/1.58/1.58,"")</f>
        <v/>
      </c>
      <c r="N181" s="6" t="str">
        <f aca="false">IF(OR(L181="",M181=""),"",ABS(L181)+ABS(M181))</f>
        <v/>
      </c>
      <c r="O181" s="3" t="str">
        <f aca="false">IF(OR(L181="",M181=""),"","SE?")</f>
        <v/>
      </c>
    </row>
    <row r="182" customFormat="false" ht="17" hidden="false" customHeight="true" outlineLevel="0" collapsed="false">
      <c r="C182" s="2" t="n">
        <f aca="false">L__B!$C$182</f>
        <v>30</v>
      </c>
      <c r="D182" s="2" t="n">
        <f aca="false">L__B!$D$182</f>
        <v>6</v>
      </c>
      <c r="E182" s="102" t="n">
        <f aca="false">L__B!$E$182</f>
        <v>181</v>
      </c>
      <c r="F182" s="103" t="n">
        <f aca="false">calc!$AN$182</f>
        <v>98.0523589725417</v>
      </c>
      <c r="G182" s="103" t="n">
        <f aca="false">IF(ABS(F182-F181)&lt;100,F182,"")</f>
        <v>98.0523589725417</v>
      </c>
      <c r="H182" s="16" t="n">
        <f aca="false">calc!$X$182</f>
        <v>107.768908552665</v>
      </c>
      <c r="I182" s="104" t="n">
        <f aca="false">IF(ABS(H182-H181)&lt;100,H182,"")</f>
        <v>107.768908552665</v>
      </c>
      <c r="J182" s="6" t="n">
        <f aca="false">calc!$Z$182</f>
        <v>4.25640234586638</v>
      </c>
      <c r="K182" s="16" t="n">
        <f aca="false">10*J182</f>
        <v>42.5640234586638</v>
      </c>
      <c r="L182" s="6" t="n">
        <f aca="false">IF(ABS(H182-F182)/17.4&lt;1,(H182-F182)/17.4,"")</f>
        <v>0.558422389662241</v>
      </c>
      <c r="M182" s="6" t="str">
        <f aca="false">IF(ABS(J182)/1.58&lt;1,J182/1.58/1.58,"")</f>
        <v/>
      </c>
      <c r="N182" s="6" t="str">
        <f aca="false">IF(OR(L182="",M182=""),"",ABS(L182)+ABS(M182))</f>
        <v/>
      </c>
      <c r="O182" s="3" t="str">
        <f aca="false">IF(OR(L182="",M182=""),"","SE?")</f>
        <v/>
      </c>
    </row>
    <row r="183" customFormat="false" ht="17" hidden="false" customHeight="true" outlineLevel="0" collapsed="false">
      <c r="C183" s="2" t="n">
        <f aca="false">L__B!$C$183</f>
        <v>1</v>
      </c>
      <c r="D183" s="2" t="n">
        <f aca="false">L__B!$D$183</f>
        <v>7</v>
      </c>
      <c r="E183" s="102" t="n">
        <f aca="false">L__B!$E$183</f>
        <v>182</v>
      </c>
      <c r="F183" s="103" t="n">
        <f aca="false">calc!$AN$183</f>
        <v>99.0380063363809</v>
      </c>
      <c r="G183" s="103" t="n">
        <f aca="false">IF(ABS(F183-F182)&lt;100,F183,"")</f>
        <v>99.0380063363809</v>
      </c>
      <c r="H183" s="16" t="n">
        <f aca="false">calc!$X$183</f>
        <v>119.650099185482</v>
      </c>
      <c r="I183" s="104" t="n">
        <f aca="false">IF(ABS(H183-H182)&lt;100,H183,"")</f>
        <v>119.650099185482</v>
      </c>
      <c r="J183" s="6" t="n">
        <f aca="false">calc!$Z$183</f>
        <v>4.74795411865312</v>
      </c>
      <c r="K183" s="16" t="n">
        <f aca="false">10*J183</f>
        <v>47.4795411865312</v>
      </c>
      <c r="L183" s="6" t="str">
        <f aca="false">IF(ABS(H183-F183)/17.4&lt;1,(H183-F183)/17.4,"")</f>
        <v/>
      </c>
      <c r="M183" s="6" t="str">
        <f aca="false">IF(ABS(J183)/1.58&lt;1,J183/1.58/1.58,"")</f>
        <v/>
      </c>
      <c r="N183" s="6" t="str">
        <f aca="false">IF(OR(L183="",M183=""),"",ABS(L183)+ABS(M183))</f>
        <v/>
      </c>
      <c r="O183" s="3" t="str">
        <f aca="false">IF(OR(L183="",M183=""),"","SE?")</f>
        <v/>
      </c>
    </row>
    <row r="184" customFormat="false" ht="17" hidden="false" customHeight="true" outlineLevel="0" collapsed="false">
      <c r="C184" s="2" t="n">
        <f aca="false">L__B!$C$184</f>
        <v>2</v>
      </c>
      <c r="D184" s="2" t="n">
        <f aca="false">L__B!$D$184</f>
        <v>7</v>
      </c>
      <c r="E184" s="102" t="n">
        <f aca="false">L__B!$E$184</f>
        <v>183</v>
      </c>
      <c r="F184" s="103" t="n">
        <f aca="false">calc!$AN$184</f>
        <v>100.023653700218</v>
      </c>
      <c r="G184" s="103" t="n">
        <f aca="false">IF(ABS(F184-F183)&lt;100,F184,"")</f>
        <v>100.023653700218</v>
      </c>
      <c r="H184" s="16" t="n">
        <f aca="false">calc!$X$184</f>
        <v>131.603351793067</v>
      </c>
      <c r="I184" s="104" t="n">
        <f aca="false">IF(ABS(H184-H183)&lt;100,H184,"")</f>
        <v>131.603351793067</v>
      </c>
      <c r="J184" s="6" t="n">
        <f aca="false">calc!$Z$184</f>
        <v>5.03537696850709</v>
      </c>
      <c r="K184" s="16" t="n">
        <f aca="false">10*J184</f>
        <v>50.3537696850709</v>
      </c>
      <c r="L184" s="6" t="str">
        <f aca="false">IF(ABS(H184-F184)/17.4&lt;1,(H184-F184)/17.4,"")</f>
        <v/>
      </c>
      <c r="M184" s="6" t="str">
        <f aca="false">IF(ABS(J184)/1.58&lt;1,J184/1.58/1.58,"")</f>
        <v/>
      </c>
      <c r="N184" s="6" t="str">
        <f aca="false">IF(OR(L184="",M184=""),"",ABS(L184)+ABS(M184))</f>
        <v/>
      </c>
      <c r="O184" s="3" t="str">
        <f aca="false">IF(OR(L184="",M184=""),"","SE?")</f>
        <v/>
      </c>
    </row>
    <row r="185" customFormat="false" ht="17" hidden="false" customHeight="true" outlineLevel="0" collapsed="false">
      <c r="C185" s="2" t="n">
        <f aca="false">L__B!$C$185</f>
        <v>3</v>
      </c>
      <c r="D185" s="2" t="n">
        <f aca="false">L__B!$D$185</f>
        <v>7</v>
      </c>
      <c r="E185" s="102" t="n">
        <f aca="false">L__B!$E$185</f>
        <v>184</v>
      </c>
      <c r="F185" s="103" t="n">
        <f aca="false">calc!$AN$185</f>
        <v>101.009301064059</v>
      </c>
      <c r="G185" s="103" t="n">
        <f aca="false">IF(ABS(F185-F184)&lt;100,F185,"")</f>
        <v>101.009301064059</v>
      </c>
      <c r="H185" s="16" t="n">
        <f aca="false">calc!$X$185</f>
        <v>143.657341705699</v>
      </c>
      <c r="I185" s="104" t="n">
        <f aca="false">IF(ABS(H185-H184)&lt;100,H185,"")</f>
        <v>143.657341705699</v>
      </c>
      <c r="J185" s="6" t="n">
        <f aca="false">calc!$Z$185</f>
        <v>5.10344442833417</v>
      </c>
      <c r="K185" s="16" t="n">
        <f aca="false">10*J185</f>
        <v>51.0344442833417</v>
      </c>
      <c r="L185" s="6" t="str">
        <f aca="false">IF(ABS(H185-F185)/17.4&lt;1,(H185-F185)/17.4,"")</f>
        <v/>
      </c>
      <c r="M185" s="6" t="str">
        <f aca="false">IF(ABS(J185)/1.58&lt;1,J185/1.58/1.58,"")</f>
        <v/>
      </c>
      <c r="N185" s="6" t="str">
        <f aca="false">IF(OR(L185="",M185=""),"",ABS(L185)+ABS(M185))</f>
        <v/>
      </c>
      <c r="O185" s="3" t="str">
        <f aca="false">IF(OR(L185="",M185=""),"","SE?")</f>
        <v/>
      </c>
    </row>
    <row r="186" customFormat="false" ht="17" hidden="false" customHeight="true" outlineLevel="0" collapsed="false">
      <c r="C186" s="2" t="n">
        <f aca="false">L__B!$C$186</f>
        <v>4</v>
      </c>
      <c r="D186" s="2" t="n">
        <f aca="false">L__B!$D$186</f>
        <v>7</v>
      </c>
      <c r="E186" s="102" t="n">
        <f aca="false">L__B!$E$186</f>
        <v>185</v>
      </c>
      <c r="F186" s="103" t="n">
        <f aca="false">calc!$AN$186</f>
        <v>101.994948427899</v>
      </c>
      <c r="G186" s="103" t="n">
        <f aca="false">IF(ABS(F186-F185)&lt;100,F186,"")</f>
        <v>101.994948427899</v>
      </c>
      <c r="H186" s="16" t="n">
        <f aca="false">calc!$X$186</f>
        <v>155.847277741521</v>
      </c>
      <c r="I186" s="104" t="n">
        <f aca="false">IF(ABS(H186-H185)&lt;100,H186,"")</f>
        <v>155.847277741521</v>
      </c>
      <c r="J186" s="6" t="n">
        <f aca="false">calc!$Z$186</f>
        <v>4.94315514951906</v>
      </c>
      <c r="K186" s="16" t="n">
        <f aca="false">10*J186</f>
        <v>49.4315514951906</v>
      </c>
      <c r="L186" s="6" t="str">
        <f aca="false">IF(ABS(H186-F186)/17.4&lt;1,(H186-F186)/17.4,"")</f>
        <v/>
      </c>
      <c r="M186" s="6" t="str">
        <f aca="false">IF(ABS(J186)/1.58&lt;1,J186/1.58/1.58,"")</f>
        <v/>
      </c>
      <c r="N186" s="6" t="str">
        <f aca="false">IF(OR(L186="",M186=""),"",ABS(L186)+ABS(M186))</f>
        <v/>
      </c>
      <c r="O186" s="3" t="str">
        <f aca="false">IF(OR(L186="",M186=""),"","SE?")</f>
        <v/>
      </c>
    </row>
    <row r="187" customFormat="false" ht="17" hidden="false" customHeight="true" outlineLevel="0" collapsed="false">
      <c r="C187" s="2" t="n">
        <f aca="false">L__B!$C$187</f>
        <v>5</v>
      </c>
      <c r="D187" s="2" t="n">
        <f aca="false">L__B!$D$187</f>
        <v>7</v>
      </c>
      <c r="E187" s="102" t="n">
        <f aca="false">L__B!$E$187</f>
        <v>186</v>
      </c>
      <c r="F187" s="103" t="n">
        <f aca="false">calc!$AN$187</f>
        <v>102.98059579174</v>
      </c>
      <c r="G187" s="103" t="n">
        <f aca="false">IF(ABS(F187-F186)&lt;100,F187,"")</f>
        <v>102.98059579174</v>
      </c>
      <c r="H187" s="16" t="n">
        <f aca="false">calc!$X$187</f>
        <v>168.218836050138</v>
      </c>
      <c r="I187" s="104" t="n">
        <f aca="false">IF(ABS(H187-H186)&lt;100,H187,"")</f>
        <v>168.218836050138</v>
      </c>
      <c r="J187" s="6" t="n">
        <f aca="false">calc!$Z$187</f>
        <v>4.5518737677075</v>
      </c>
      <c r="K187" s="16" t="n">
        <f aca="false">10*J187</f>
        <v>45.518737677075</v>
      </c>
      <c r="L187" s="6" t="str">
        <f aca="false">IF(ABS(H187-F187)/17.4&lt;1,(H187-F187)/17.4,"")</f>
        <v/>
      </c>
      <c r="M187" s="6" t="str">
        <f aca="false">IF(ABS(J187)/1.58&lt;1,J187/1.58/1.58,"")</f>
        <v/>
      </c>
      <c r="N187" s="6" t="str">
        <f aca="false">IF(OR(L187="",M187=""),"",ABS(L187)+ABS(M187))</f>
        <v/>
      </c>
      <c r="O187" s="3" t="str">
        <f aca="false">IF(OR(L187="",M187=""),"","SE?")</f>
        <v/>
      </c>
    </row>
    <row r="188" customFormat="false" ht="17" hidden="false" customHeight="true" outlineLevel="0" collapsed="false">
      <c r="C188" s="2" t="n">
        <f aca="false">L__B!$C$188</f>
        <v>6</v>
      </c>
      <c r="D188" s="2" t="n">
        <f aca="false">L__B!$D$188</f>
        <v>7</v>
      </c>
      <c r="E188" s="102" t="n">
        <f aca="false">L__B!$E$188</f>
        <v>187</v>
      </c>
      <c r="F188" s="103" t="n">
        <f aca="false">calc!$AN$188</f>
        <v>103.966243155581</v>
      </c>
      <c r="G188" s="103" t="n">
        <f aca="false">IF(ABS(F188-F187)&lt;100,F188,"")</f>
        <v>103.966243155581</v>
      </c>
      <c r="H188" s="16" t="n">
        <f aca="false">calc!$X$188</f>
        <v>180.829341132941</v>
      </c>
      <c r="I188" s="104" t="n">
        <f aca="false">IF(ABS(H188-H187)&lt;100,H188,"")</f>
        <v>180.829341132941</v>
      </c>
      <c r="J188" s="6" t="n">
        <f aca="false">calc!$Z$188</f>
        <v>3.93388256298466</v>
      </c>
      <c r="K188" s="16" t="n">
        <f aca="false">10*J188</f>
        <v>39.3388256298466</v>
      </c>
      <c r="L188" s="6" t="str">
        <f aca="false">IF(ABS(H188-F188)/17.4&lt;1,(H188-F188)/17.4,"")</f>
        <v/>
      </c>
      <c r="M188" s="6" t="str">
        <f aca="false">IF(ABS(J188)/1.58&lt;1,J188/1.58/1.58,"")</f>
        <v/>
      </c>
      <c r="N188" s="6" t="str">
        <f aca="false">IF(OR(L188="",M188=""),"",ABS(L188)+ABS(M188))</f>
        <v/>
      </c>
      <c r="O188" s="3" t="str">
        <f aca="false">IF(OR(L188="",M188=""),"","SE?")</f>
        <v/>
      </c>
    </row>
    <row r="189" customFormat="false" ht="17" hidden="false" customHeight="true" outlineLevel="0" collapsed="false">
      <c r="C189" s="2" t="n">
        <f aca="false">L__B!$C$189</f>
        <v>7</v>
      </c>
      <c r="D189" s="2" t="n">
        <f aca="false">L__B!$D$189</f>
        <v>7</v>
      </c>
      <c r="E189" s="102" t="n">
        <f aca="false">L__B!$E$189</f>
        <v>188</v>
      </c>
      <c r="F189" s="103" t="n">
        <f aca="false">calc!$AN$189</f>
        <v>104.951890519424</v>
      </c>
      <c r="G189" s="103" t="n">
        <f aca="false">IF(ABS(F189-F188)&lt;100,F189,"")</f>
        <v>104.951890519424</v>
      </c>
      <c r="H189" s="16" t="n">
        <f aca="false">calc!$X$189</f>
        <v>193.74435628987</v>
      </c>
      <c r="I189" s="104" t="n">
        <f aca="false">IF(ABS(H189-H188)&lt;100,H189,"")</f>
        <v>193.74435628987</v>
      </c>
      <c r="J189" s="6" t="n">
        <f aca="false">calc!$Z$189</f>
        <v>3.10193782336412</v>
      </c>
      <c r="K189" s="16" t="n">
        <f aca="false">10*J189</f>
        <v>31.0193782336412</v>
      </c>
      <c r="L189" s="6" t="str">
        <f aca="false">IF(ABS(H189-F189)/17.4&lt;1,(H189-F189)/17.4,"")</f>
        <v/>
      </c>
      <c r="M189" s="6" t="str">
        <f aca="false">IF(ABS(J189)/1.58&lt;1,J189/1.58/1.58,"")</f>
        <v/>
      </c>
      <c r="N189" s="6" t="str">
        <f aca="false">IF(OR(L189="",M189=""),"",ABS(L189)+ABS(M189))</f>
        <v/>
      </c>
      <c r="O189" s="3" t="str">
        <f aca="false">IF(OR(L189="",M189=""),"","SE?")</f>
        <v/>
      </c>
    </row>
    <row r="190" customFormat="false" ht="17" hidden="false" customHeight="true" outlineLevel="0" collapsed="false">
      <c r="C190" s="2" t="n">
        <f aca="false">L__B!$C$190</f>
        <v>8</v>
      </c>
      <c r="D190" s="2" t="n">
        <f aca="false">L__B!$D$190</f>
        <v>7</v>
      </c>
      <c r="E190" s="102" t="n">
        <f aca="false">L__B!$E$190</f>
        <v>189</v>
      </c>
      <c r="F190" s="103" t="n">
        <f aca="false">calc!$AN$190</f>
        <v>105.937537883265</v>
      </c>
      <c r="G190" s="103" t="n">
        <f aca="false">IF(ABS(F190-F189)&lt;100,F190,"")</f>
        <v>105.937537883265</v>
      </c>
      <c r="H190" s="16" t="n">
        <f aca="false">calc!$X$190</f>
        <v>207.028867609305</v>
      </c>
      <c r="I190" s="104" t="n">
        <f aca="false">IF(ABS(H190-H189)&lt;100,H190,"")</f>
        <v>207.028867609305</v>
      </c>
      <c r="J190" s="6" t="n">
        <f aca="false">calc!$Z$190</f>
        <v>2.0802582121552</v>
      </c>
      <c r="K190" s="16" t="n">
        <f aca="false">10*J190</f>
        <v>20.802582121552</v>
      </c>
      <c r="L190" s="6" t="str">
        <f aca="false">IF(ABS(H190-F190)/17.4&lt;1,(H190-F190)/17.4,"")</f>
        <v/>
      </c>
      <c r="M190" s="6" t="str">
        <f aca="false">IF(ABS(J190)/1.58&lt;1,J190/1.58/1.58,"")</f>
        <v/>
      </c>
      <c r="N190" s="6" t="str">
        <f aca="false">IF(OR(L190="",M190=""),"",ABS(L190)+ABS(M190))</f>
        <v/>
      </c>
      <c r="O190" s="3" t="str">
        <f aca="false">IF(OR(L190="",M190=""),"","SE?")</f>
        <v/>
      </c>
    </row>
    <row r="191" customFormat="false" ht="17" hidden="false" customHeight="true" outlineLevel="0" collapsed="false">
      <c r="C191" s="2" t="n">
        <f aca="false">L__B!$C$191</f>
        <v>9</v>
      </c>
      <c r="D191" s="2" t="n">
        <f aca="false">L__B!$D$191</f>
        <v>7</v>
      </c>
      <c r="E191" s="102" t="n">
        <f aca="false">L__B!$E$191</f>
        <v>190</v>
      </c>
      <c r="F191" s="103" t="n">
        <f aca="false">calc!$AN$191</f>
        <v>106.923185247106</v>
      </c>
      <c r="G191" s="103" t="n">
        <f aca="false">IF(ABS(F191-F190)&lt;100,F191,"")</f>
        <v>106.923185247106</v>
      </c>
      <c r="H191" s="16" t="n">
        <f aca="false">calc!$X$191</f>
        <v>220.733938110532</v>
      </c>
      <c r="I191" s="104" t="n">
        <f aca="false">IF(ABS(H191-H190)&lt;100,H191,"")</f>
        <v>220.733938110532</v>
      </c>
      <c r="J191" s="6" t="n">
        <f aca="false">calc!$Z$191</f>
        <v>0.908652224999752</v>
      </c>
      <c r="K191" s="16" t="n">
        <f aca="false">10*J191</f>
        <v>9.08652224999752</v>
      </c>
      <c r="L191" s="6" t="str">
        <f aca="false">IF(ABS(H191-F191)/17.4&lt;1,(H191-F191)/17.4,"")</f>
        <v/>
      </c>
      <c r="M191" s="6" t="n">
        <f aca="false">IF(ABS(J191)/1.58&lt;1,J191/1.58/1.58,"")</f>
        <v>0.363985028440856</v>
      </c>
      <c r="N191" s="6" t="str">
        <f aca="false">IF(OR(L191="",M191=""),"",ABS(L191)+ABS(M191))</f>
        <v/>
      </c>
      <c r="O191" s="3" t="str">
        <f aca="false">IF(OR(L191="",M191=""),"","SE?")</f>
        <v/>
      </c>
    </row>
    <row r="192" customFormat="false" ht="17" hidden="false" customHeight="true" outlineLevel="0" collapsed="false">
      <c r="C192" s="2" t="n">
        <f aca="false">L__B!$C$192</f>
        <v>10</v>
      </c>
      <c r="D192" s="2" t="n">
        <f aca="false">L__B!$D$192</f>
        <v>7</v>
      </c>
      <c r="E192" s="102" t="n">
        <f aca="false">L__B!$E$192</f>
        <v>191</v>
      </c>
      <c r="F192" s="103" t="n">
        <f aca="false">calc!$AN$192</f>
        <v>107.908832610947</v>
      </c>
      <c r="G192" s="103" t="n">
        <f aca="false">IF(ABS(F192-F191)&lt;100,F192,"")</f>
        <v>107.908832610947</v>
      </c>
      <c r="H192" s="16" t="n">
        <f aca="false">calc!$X$192</f>
        <v>234.881523484122</v>
      </c>
      <c r="I192" s="104" t="n">
        <f aca="false">IF(ABS(H192-H191)&lt;100,H192,"")</f>
        <v>234.881523484122</v>
      </c>
      <c r="J192" s="6" t="n">
        <f aca="false">calc!$Z$192</f>
        <v>-0.353697311655848</v>
      </c>
      <c r="K192" s="16" t="n">
        <f aca="false">10*J192</f>
        <v>-3.53697311655848</v>
      </c>
      <c r="L192" s="6" t="str">
        <f aca="false">IF(ABS(H192-F192)/17.4&lt;1,(H192-F192)/17.4,"")</f>
        <v/>
      </c>
      <c r="M192" s="6" t="n">
        <f aca="false">IF(ABS(J192)/1.58&lt;1,J192/1.58/1.58,"")</f>
        <v>-0.141682948107614</v>
      </c>
      <c r="N192" s="6" t="str">
        <f aca="false">IF(OR(L192="",M192=""),"",ABS(L192)+ABS(M192))</f>
        <v/>
      </c>
      <c r="O192" s="3" t="str">
        <f aca="false">IF(OR(L192="",M192=""),"","SE?")</f>
        <v/>
      </c>
    </row>
    <row r="193" customFormat="false" ht="17" hidden="false" customHeight="true" outlineLevel="0" collapsed="false">
      <c r="C193" s="2" t="n">
        <f aca="false">L__B!$C$193</f>
        <v>11</v>
      </c>
      <c r="D193" s="2" t="n">
        <f aca="false">L__B!$D$193</f>
        <v>7</v>
      </c>
      <c r="E193" s="102" t="n">
        <f aca="false">L__B!$E$193</f>
        <v>192</v>
      </c>
      <c r="F193" s="103" t="n">
        <f aca="false">calc!$AN$193</f>
        <v>108.894479974791</v>
      </c>
      <c r="G193" s="103" t="n">
        <f aca="false">IF(ABS(F193-F192)&lt;100,F193,"")</f>
        <v>108.894479974791</v>
      </c>
      <c r="H193" s="16" t="n">
        <f aca="false">calc!$X$193</f>
        <v>249.451390298384</v>
      </c>
      <c r="I193" s="104" t="n">
        <f aca="false">IF(ABS(H193-H192)&lt;100,H193,"")</f>
        <v>249.451390298384</v>
      </c>
      <c r="J193" s="6" t="n">
        <f aca="false">calc!$Z$193</f>
        <v>-1.62739160420788</v>
      </c>
      <c r="K193" s="16" t="n">
        <f aca="false">10*J193</f>
        <v>-16.2739160420788</v>
      </c>
      <c r="L193" s="6" t="str">
        <f aca="false">IF(ABS(H193-F193)/17.4&lt;1,(H193-F193)/17.4,"")</f>
        <v/>
      </c>
      <c r="M193" s="6" t="str">
        <f aca="false">IF(ABS(J193)/1.58&lt;1,J193/1.58/1.58,"")</f>
        <v/>
      </c>
      <c r="N193" s="6" t="str">
        <f aca="false">IF(OR(L193="",M193=""),"",ABS(L193)+ABS(M193))</f>
        <v/>
      </c>
      <c r="O193" s="3" t="str">
        <f aca="false">IF(OR(L193="",M193=""),"","SE?")</f>
        <v/>
      </c>
    </row>
    <row r="194" customFormat="false" ht="17" hidden="false" customHeight="true" outlineLevel="0" collapsed="false">
      <c r="C194" s="2" t="n">
        <f aca="false">L__B!$C$194</f>
        <v>12</v>
      </c>
      <c r="D194" s="2" t="n">
        <f aca="false">L__B!$D$194</f>
        <v>7</v>
      </c>
      <c r="E194" s="102" t="n">
        <f aca="false">L__B!$E$194</f>
        <v>193</v>
      </c>
      <c r="F194" s="103" t="n">
        <f aca="false">calc!$AN$194</f>
        <v>109.880127338634</v>
      </c>
      <c r="G194" s="103" t="n">
        <f aca="false">IF(ABS(F194-F193)&lt;100,F194,"")</f>
        <v>109.880127338634</v>
      </c>
      <c r="H194" s="16" t="n">
        <f aca="false">calc!$X$194</f>
        <v>264.374203335896</v>
      </c>
      <c r="I194" s="104" t="n">
        <f aca="false">IF(ABS(H194-H193)&lt;100,H194,"")</f>
        <v>264.374203335896</v>
      </c>
      <c r="J194" s="6" t="n">
        <f aca="false">calc!$Z$194</f>
        <v>-2.81764352865142</v>
      </c>
      <c r="K194" s="16" t="n">
        <f aca="false">10*J194</f>
        <v>-28.1764352865142</v>
      </c>
      <c r="L194" s="6" t="str">
        <f aca="false">IF(ABS(H194-F194)/17.4&lt;1,(H194-F194)/17.4,"")</f>
        <v/>
      </c>
      <c r="M194" s="6" t="str">
        <f aca="false">IF(ABS(J194)/1.58&lt;1,J194/1.58/1.58,"")</f>
        <v/>
      </c>
      <c r="N194" s="6" t="str">
        <f aca="false">IF(OR(L194="",M194=""),"",ABS(L194)+ABS(M194))</f>
        <v/>
      </c>
      <c r="O194" s="3" t="str">
        <f aca="false">IF(OR(L194="",M194=""),"","SE?")</f>
        <v/>
      </c>
    </row>
    <row r="195" customFormat="false" ht="17" hidden="false" customHeight="true" outlineLevel="0" collapsed="false">
      <c r="C195" s="2" t="n">
        <f aca="false">L__B!$C$195</f>
        <v>13</v>
      </c>
      <c r="D195" s="2" t="n">
        <f aca="false">L__B!$D$195</f>
        <v>7</v>
      </c>
      <c r="E195" s="102" t="n">
        <f aca="false">L__B!$E$195</f>
        <v>194</v>
      </c>
      <c r="F195" s="103" t="n">
        <f aca="false">calc!$AN$195</f>
        <v>110.865774702479</v>
      </c>
      <c r="G195" s="103" t="n">
        <f aca="false">IF(ABS(F195-F194)&lt;100,F195,"")</f>
        <v>110.865774702479</v>
      </c>
      <c r="H195" s="16" t="n">
        <f aca="false">calc!$X$195</f>
        <v>279.533657492514</v>
      </c>
      <c r="I195" s="104" t="n">
        <f aca="false">IF(ABS(H195-H194)&lt;100,H195,"")</f>
        <v>279.533657492514</v>
      </c>
      <c r="J195" s="6" t="n">
        <f aca="false">calc!$Z$195</f>
        <v>-3.82585789891505</v>
      </c>
      <c r="K195" s="16" t="n">
        <f aca="false">10*J195</f>
        <v>-38.2585789891505</v>
      </c>
      <c r="L195" s="6" t="str">
        <f aca="false">IF(ABS(H195-F195)/17.4&lt;1,(H195-F195)/17.4,"")</f>
        <v/>
      </c>
      <c r="M195" s="6" t="str">
        <f aca="false">IF(ABS(J195)/1.58&lt;1,J195/1.58/1.58,"")</f>
        <v/>
      </c>
      <c r="N195" s="6" t="str">
        <f aca="false">IF(OR(L195="",M195=""),"",ABS(L195)+ABS(M195))</f>
        <v/>
      </c>
      <c r="O195" s="3" t="str">
        <f aca="false">IF(OR(L195="",M195=""),"","SE?")</f>
        <v/>
      </c>
    </row>
    <row r="196" customFormat="false" ht="17" hidden="false" customHeight="true" outlineLevel="0" collapsed="false">
      <c r="C196" s="2" t="n">
        <f aca="false">L__B!$C$196</f>
        <v>14</v>
      </c>
      <c r="D196" s="2" t="n">
        <f aca="false">L__B!$D$196</f>
        <v>7</v>
      </c>
      <c r="E196" s="102" t="n">
        <f aca="false">L__B!$E$196</f>
        <v>195</v>
      </c>
      <c r="F196" s="103" t="n">
        <f aca="false">calc!$AN$196</f>
        <v>111.851422066322</v>
      </c>
      <c r="G196" s="103" t="n">
        <f aca="false">IF(ABS(F196-F195)&lt;100,F196,"")</f>
        <v>111.851422066322</v>
      </c>
      <c r="H196" s="16" t="n">
        <f aca="false">calc!$X$196</f>
        <v>294.778296661579</v>
      </c>
      <c r="I196" s="104" t="n">
        <f aca="false">IF(ABS(H196-H195)&lt;100,H196,"")</f>
        <v>294.778296661579</v>
      </c>
      <c r="J196" s="6" t="n">
        <f aca="false">calc!$Z$196</f>
        <v>-4.56585993527782</v>
      </c>
      <c r="K196" s="16" t="n">
        <f aca="false">10*J196</f>
        <v>-45.6585993527782</v>
      </c>
      <c r="L196" s="6" t="str">
        <f aca="false">IF(ABS(H196-F196)/17.4&lt;1,(H196-F196)/17.4,"")</f>
        <v/>
      </c>
      <c r="M196" s="6" t="str">
        <f aca="false">IF(ABS(J196)/1.58&lt;1,J196/1.58/1.58,"")</f>
        <v/>
      </c>
      <c r="N196" s="6" t="str">
        <f aca="false">IF(OR(L196="",M196=""),"",ABS(L196)+ABS(M196))</f>
        <v/>
      </c>
      <c r="O196" s="3" t="str">
        <f aca="false">IF(OR(L196="",M196=""),"","SE?")</f>
        <v/>
      </c>
    </row>
    <row r="197" customFormat="false" ht="17" hidden="false" customHeight="true" outlineLevel="0" collapsed="false">
      <c r="C197" s="2" t="n">
        <f aca="false">L__B!$C$197</f>
        <v>15</v>
      </c>
      <c r="D197" s="2" t="n">
        <f aca="false">L__B!$D$197</f>
        <v>7</v>
      </c>
      <c r="E197" s="102" t="n">
        <f aca="false">L__B!$E$197</f>
        <v>196</v>
      </c>
      <c r="F197" s="103" t="n">
        <f aca="false">calc!$AN$197</f>
        <v>112.837069430168</v>
      </c>
      <c r="G197" s="103" t="n">
        <f aca="false">IF(ABS(F197-F196)&lt;100,F197,"")</f>
        <v>112.837069430168</v>
      </c>
      <c r="H197" s="16" t="n">
        <f aca="false">calc!$X$197</f>
        <v>309.941056366662</v>
      </c>
      <c r="I197" s="104" t="n">
        <f aca="false">IF(ABS(H197-H196)&lt;100,H197,"")</f>
        <v>309.941056366662</v>
      </c>
      <c r="J197" s="6" t="n">
        <f aca="false">calc!$Z$197</f>
        <v>-4.97960741317068</v>
      </c>
      <c r="K197" s="16" t="n">
        <f aca="false">10*J197</f>
        <v>-49.7960741317068</v>
      </c>
      <c r="L197" s="6" t="str">
        <f aca="false">IF(ABS(H197-F197)/17.4&lt;1,(H197-F197)/17.4,"")</f>
        <v/>
      </c>
      <c r="M197" s="6" t="str">
        <f aca="false">IF(ABS(J197)/1.58&lt;1,J197/1.58/1.58,"")</f>
        <v/>
      </c>
      <c r="N197" s="6" t="str">
        <f aca="false">IF(OR(L197="",M197=""),"",ABS(L197)+ABS(M197))</f>
        <v/>
      </c>
      <c r="O197" s="3" t="str">
        <f aca="false">IF(OR(L197="",M197=""),"","SE?")</f>
        <v/>
      </c>
    </row>
    <row r="198" customFormat="false" ht="17" hidden="false" customHeight="true" outlineLevel="0" collapsed="false">
      <c r="C198" s="2" t="n">
        <f aca="false">L__B!$C$198</f>
        <v>16</v>
      </c>
      <c r="D198" s="2" t="n">
        <f aca="false">L__B!$D$198</f>
        <v>7</v>
      </c>
      <c r="E198" s="102" t="n">
        <f aca="false">L__B!$E$198</f>
        <v>197</v>
      </c>
      <c r="F198" s="103" t="n">
        <f aca="false">calc!$AN$198</f>
        <v>113.822716794013</v>
      </c>
      <c r="G198" s="103" t="n">
        <f aca="false">IF(ABS(F198-F197)&lt;100,F198,"")</f>
        <v>113.822716794013</v>
      </c>
      <c r="H198" s="16" t="n">
        <f aca="false">calc!$X$198</f>
        <v>324.862421809771</v>
      </c>
      <c r="I198" s="104" t="n">
        <f aca="false">IF(ABS(H198-H197)&lt;100,H198,"")</f>
        <v>324.862421809771</v>
      </c>
      <c r="J198" s="6" t="n">
        <f aca="false">calc!$Z$198</f>
        <v>-5.04653495533672</v>
      </c>
      <c r="K198" s="16" t="n">
        <f aca="false">10*J198</f>
        <v>-50.4653495533672</v>
      </c>
      <c r="L198" s="6" t="str">
        <f aca="false">IF(ABS(H198-F198)/17.4&lt;1,(H198-F198)/17.4,"")</f>
        <v/>
      </c>
      <c r="M198" s="6" t="str">
        <f aca="false">IF(ABS(J198)/1.58&lt;1,J198/1.58/1.58,"")</f>
        <v/>
      </c>
      <c r="N198" s="6" t="str">
        <f aca="false">IF(OR(L198="",M198=""),"",ABS(L198)+ABS(M198))</f>
        <v/>
      </c>
      <c r="O198" s="3" t="str">
        <f aca="false">IF(OR(L198="",M198=""),"","SE?")</f>
        <v/>
      </c>
    </row>
    <row r="199" customFormat="false" ht="17" hidden="false" customHeight="true" outlineLevel="0" collapsed="false">
      <c r="C199" s="2" t="n">
        <f aca="false">L__B!$C$199</f>
        <v>17</v>
      </c>
      <c r="D199" s="2" t="n">
        <f aca="false">L__B!$D$199</f>
        <v>7</v>
      </c>
      <c r="E199" s="102" t="n">
        <f aca="false">L__B!$E$199</f>
        <v>198</v>
      </c>
      <c r="F199" s="103" t="n">
        <f aca="false">calc!$AN$199</f>
        <v>114.80836415786</v>
      </c>
      <c r="G199" s="103" t="n">
        <f aca="false">IF(ABS(F199-F198)&lt;100,F199,"")</f>
        <v>114.80836415786</v>
      </c>
      <c r="H199" s="16" t="n">
        <f aca="false">calc!$X$199</f>
        <v>339.412107039498</v>
      </c>
      <c r="I199" s="104" t="n">
        <f aca="false">IF(ABS(H199-H198)&lt;100,H199,"")</f>
        <v>339.412107039498</v>
      </c>
      <c r="J199" s="6" t="n">
        <f aca="false">calc!$Z$199</f>
        <v>-4.78328119021251</v>
      </c>
      <c r="K199" s="16" t="n">
        <f aca="false">10*J199</f>
        <v>-47.8328119021251</v>
      </c>
      <c r="L199" s="6" t="str">
        <f aca="false">IF(ABS(H199-F199)/17.4&lt;1,(H199-F199)/17.4,"")</f>
        <v/>
      </c>
      <c r="M199" s="6" t="str">
        <f aca="false">IF(ABS(J199)/1.58&lt;1,J199/1.58/1.58,"")</f>
        <v/>
      </c>
      <c r="N199" s="6" t="str">
        <f aca="false">IF(OR(L199="",M199=""),"",ABS(L199)+ABS(M199))</f>
        <v/>
      </c>
      <c r="O199" s="3" t="str">
        <f aca="false">IF(OR(L199="",M199=""),"","SE?")</f>
        <v/>
      </c>
    </row>
    <row r="200" customFormat="false" ht="17" hidden="false" customHeight="true" outlineLevel="0" collapsed="false">
      <c r="C200" s="2" t="n">
        <f aca="false">L__B!$C$200</f>
        <v>18</v>
      </c>
      <c r="D200" s="2" t="n">
        <f aca="false">L__B!$D$200</f>
        <v>7</v>
      </c>
      <c r="E200" s="102" t="n">
        <f aca="false">L__B!$E$200</f>
        <v>199</v>
      </c>
      <c r="F200" s="103" t="n">
        <f aca="false">calc!$AN$200</f>
        <v>115.794011521704</v>
      </c>
      <c r="G200" s="103" t="n">
        <f aca="false">IF(ABS(F200-F199)&lt;100,F200,"")</f>
        <v>115.794011521704</v>
      </c>
      <c r="H200" s="16" t="n">
        <f aca="false">calc!$X$200</f>
        <v>353.504644981449</v>
      </c>
      <c r="I200" s="104" t="n">
        <f aca="false">IF(ABS(H200-H199)&lt;100,H200,"")</f>
        <v>353.504644981449</v>
      </c>
      <c r="J200" s="6" t="n">
        <f aca="false">calc!$Z$200</f>
        <v>-4.23493171163314</v>
      </c>
      <c r="K200" s="16" t="n">
        <f aca="false">10*J200</f>
        <v>-42.3493171163314</v>
      </c>
      <c r="L200" s="6" t="str">
        <f aca="false">IF(ABS(H200-F200)/17.4&lt;1,(H200-F200)/17.4,"")</f>
        <v/>
      </c>
      <c r="M200" s="6" t="str">
        <f aca="false">IF(ABS(J200)/1.58&lt;1,J200/1.58/1.58,"")</f>
        <v/>
      </c>
      <c r="N200" s="6" t="str">
        <f aca="false">IF(OR(L200="",M200=""),"",ABS(L200)+ABS(M200))</f>
        <v/>
      </c>
      <c r="O200" s="3" t="str">
        <f aca="false">IF(OR(L200="",M200=""),"","SE?")</f>
        <v/>
      </c>
    </row>
    <row r="201" customFormat="false" ht="17" hidden="false" customHeight="true" outlineLevel="0" collapsed="false">
      <c r="C201" s="2" t="n">
        <f aca="false">L__B!$C$201</f>
        <v>19</v>
      </c>
      <c r="D201" s="2" t="n">
        <f aca="false">L__B!$D$201</f>
        <v>7</v>
      </c>
      <c r="E201" s="102" t="n">
        <f aca="false">L__B!$E$201</f>
        <v>200</v>
      </c>
      <c r="F201" s="103" t="n">
        <f aca="false">calc!$AN$201</f>
        <v>116.779658885551</v>
      </c>
      <c r="G201" s="103" t="n">
        <f aca="false">IF(ABS(F201-F200)&lt;100,F201,"")</f>
        <v>116.779658885551</v>
      </c>
      <c r="H201" s="16" t="n">
        <f aca="false">calc!$X$201</f>
        <v>7.10604553751131</v>
      </c>
      <c r="I201" s="104" t="str">
        <f aca="false">IF(ABS(H201-H200)&lt;100,H201,"")</f>
        <v/>
      </c>
      <c r="J201" s="6" t="n">
        <f aca="false">calc!$Z$201</f>
        <v>-3.46225981202724</v>
      </c>
      <c r="K201" s="16" t="n">
        <f aca="false">10*J201</f>
        <v>-34.6225981202724</v>
      </c>
      <c r="L201" s="6" t="str">
        <f aca="false">IF(ABS(H201-F201)/17.4&lt;1,(H201-F201)/17.4,"")</f>
        <v/>
      </c>
      <c r="M201" s="6" t="str">
        <f aca="false">IF(ABS(J201)/1.58&lt;1,J201/1.58/1.58,"")</f>
        <v/>
      </c>
      <c r="N201" s="6" t="str">
        <f aca="false">IF(OR(L201="",M201=""),"",ABS(L201)+ABS(M201))</f>
        <v/>
      </c>
      <c r="O201" s="3" t="str">
        <f aca="false">IF(OR(L201="",M201=""),"","SE?")</f>
        <v/>
      </c>
    </row>
    <row r="202" customFormat="false" ht="17" hidden="false" customHeight="true" outlineLevel="0" collapsed="false">
      <c r="C202" s="2" t="n">
        <f aca="false">L__B!$C$202</f>
        <v>20</v>
      </c>
      <c r="D202" s="2" t="n">
        <f aca="false">L__B!$D$202</f>
        <v>7</v>
      </c>
      <c r="E202" s="102" t="n">
        <f aca="false">L__B!$E$202</f>
        <v>201</v>
      </c>
      <c r="F202" s="103" t="n">
        <f aca="false">calc!$AN$202</f>
        <v>117.765306249397</v>
      </c>
      <c r="G202" s="103" t="n">
        <f aca="false">IF(ABS(F202-F201)&lt;100,F202,"")</f>
        <v>117.765306249397</v>
      </c>
      <c r="H202" s="16" t="n">
        <f aca="false">calc!$X$202</f>
        <v>20.2311210868523</v>
      </c>
      <c r="I202" s="104" t="n">
        <f aca="false">IF(ABS(H202-H201)&lt;100,H202,"")</f>
        <v>20.2311210868523</v>
      </c>
      <c r="J202" s="6" t="n">
        <f aca="false">calc!$Z$202</f>
        <v>-2.52996881941738</v>
      </c>
      <c r="K202" s="16" t="n">
        <f aca="false">10*J202</f>
        <v>-25.2996881941738</v>
      </c>
      <c r="L202" s="6" t="str">
        <f aca="false">IF(ABS(H202-F202)/17.4&lt;1,(H202-F202)/17.4,"")</f>
        <v/>
      </c>
      <c r="M202" s="6" t="str">
        <f aca="false">IF(ABS(J202)/1.58&lt;1,J202/1.58/1.58,"")</f>
        <v/>
      </c>
      <c r="N202" s="6" t="str">
        <f aca="false">IF(OR(L202="",M202=""),"",ABS(L202)+ABS(M202))</f>
        <v/>
      </c>
      <c r="O202" s="3" t="str">
        <f aca="false">IF(OR(L202="",M202=""),"","SE?")</f>
        <v/>
      </c>
    </row>
    <row r="203" customFormat="false" ht="17" hidden="false" customHeight="true" outlineLevel="0" collapsed="false">
      <c r="C203" s="2" t="n">
        <f aca="false">L__B!$C$203</f>
        <v>21</v>
      </c>
      <c r="D203" s="2" t="n">
        <f aca="false">L__B!$D$203</f>
        <v>7</v>
      </c>
      <c r="E203" s="102" t="n">
        <f aca="false">L__B!$E$203</f>
        <v>202</v>
      </c>
      <c r="F203" s="103" t="n">
        <f aca="false">calc!$AN$203</f>
        <v>118.750953613246</v>
      </c>
      <c r="G203" s="103" t="n">
        <f aca="false">IF(ABS(F203-F202)&lt;100,F203,"")</f>
        <v>118.750953613246</v>
      </c>
      <c r="H203" s="16" t="n">
        <f aca="false">calc!$X$203</f>
        <v>32.9333939744709</v>
      </c>
      <c r="I203" s="104" t="n">
        <f aca="false">IF(ABS(H203-H202)&lt;100,H203,"")</f>
        <v>32.9333939744709</v>
      </c>
      <c r="J203" s="6" t="n">
        <f aca="false">calc!$Z$203</f>
        <v>-1.49902524287925</v>
      </c>
      <c r="K203" s="16" t="n">
        <f aca="false">10*J203</f>
        <v>-14.9902524287925</v>
      </c>
      <c r="L203" s="6" t="str">
        <f aca="false">IF(ABS(H203-F203)/17.4&lt;1,(H203-F203)/17.4,"")</f>
        <v/>
      </c>
      <c r="M203" s="6" t="n">
        <f aca="false">IF(ABS(J203)/1.58&lt;1,J203/1.58/1.58,"")</f>
        <v>-0.600474780836104</v>
      </c>
      <c r="N203" s="6" t="str">
        <f aca="false">IF(OR(L203="",M203=""),"",ABS(L203)+ABS(M203))</f>
        <v/>
      </c>
      <c r="O203" s="3" t="str">
        <f aca="false">IF(OR(L203="",M203=""),"","SE?")</f>
        <v/>
      </c>
    </row>
    <row r="204" customFormat="false" ht="17" hidden="false" customHeight="true" outlineLevel="0" collapsed="false">
      <c r="C204" s="2" t="n">
        <f aca="false">L__B!$C$204</f>
        <v>22</v>
      </c>
      <c r="D204" s="2" t="n">
        <f aca="false">L__B!$D$204</f>
        <v>7</v>
      </c>
      <c r="E204" s="102" t="n">
        <f aca="false">L__B!$E$204</f>
        <v>203</v>
      </c>
      <c r="F204" s="103" t="n">
        <f aca="false">calc!$AN$204</f>
        <v>119.736600977092</v>
      </c>
      <c r="G204" s="103" t="n">
        <f aca="false">IF(ABS(F204-F203)&lt;100,F204,"")</f>
        <v>119.736600977092</v>
      </c>
      <c r="H204" s="16" t="n">
        <f aca="false">calc!$X$204</f>
        <v>45.2909877182798</v>
      </c>
      <c r="I204" s="104" t="n">
        <f aca="false">IF(ABS(H204-H203)&lt;100,H204,"")</f>
        <v>45.2909877182798</v>
      </c>
      <c r="J204" s="6" t="n">
        <f aca="false">calc!$Z$204</f>
        <v>-0.423553114483459</v>
      </c>
      <c r="K204" s="16" t="n">
        <f aca="false">10*J204</f>
        <v>-4.23553114483459</v>
      </c>
      <c r="L204" s="6" t="str">
        <f aca="false">IF(ABS(H204-F204)/17.4&lt;1,(H204-F204)/17.4,"")</f>
        <v/>
      </c>
      <c r="M204" s="6" t="n">
        <f aca="false">IF(ABS(J204)/1.58&lt;1,J204/1.58/1.58,"")</f>
        <v>-0.16966556420584</v>
      </c>
      <c r="N204" s="6" t="str">
        <f aca="false">IF(OR(L204="",M204=""),"",ABS(L204)+ABS(M204))</f>
        <v/>
      </c>
      <c r="O204" s="3" t="str">
        <f aca="false">IF(OR(L204="",M204=""),"","SE?")</f>
        <v/>
      </c>
    </row>
    <row r="205" customFormat="false" ht="17" hidden="false" customHeight="true" outlineLevel="0" collapsed="false">
      <c r="C205" s="2" t="n">
        <f aca="false">L__B!$C$205</f>
        <v>23</v>
      </c>
      <c r="D205" s="2" t="n">
        <f aca="false">L__B!$D$205</f>
        <v>7</v>
      </c>
      <c r="E205" s="102" t="n">
        <f aca="false">L__B!$E$205</f>
        <v>204</v>
      </c>
      <c r="F205" s="103" t="n">
        <f aca="false">calc!$AN$205</f>
        <v>120.722248340942</v>
      </c>
      <c r="G205" s="103" t="n">
        <f aca="false">IF(ABS(F205-F204)&lt;100,F205,"")</f>
        <v>120.722248340942</v>
      </c>
      <c r="H205" s="16" t="n">
        <f aca="false">calc!$X$205</f>
        <v>57.3922046562681</v>
      </c>
      <c r="I205" s="104" t="n">
        <f aca="false">IF(ABS(H205-H204)&lt;100,H205,"")</f>
        <v>57.3922046562681</v>
      </c>
      <c r="J205" s="6" t="n">
        <f aca="false">calc!$Z$205</f>
        <v>0.649053381986852</v>
      </c>
      <c r="K205" s="16" t="n">
        <f aca="false">10*J205</f>
        <v>6.49053381986852</v>
      </c>
      <c r="L205" s="6" t="str">
        <f aca="false">IF(ABS(H205-F205)/17.4&lt;1,(H205-F205)/17.4,"")</f>
        <v/>
      </c>
      <c r="M205" s="6" t="n">
        <f aca="false">IF(ABS(J205)/1.58&lt;1,J205/1.58/1.58,"")</f>
        <v>0.259995746669945</v>
      </c>
      <c r="N205" s="6" t="str">
        <f aca="false">IF(OR(L205="",M205=""),"",ABS(L205)+ABS(M205))</f>
        <v/>
      </c>
      <c r="O205" s="3" t="str">
        <f aca="false">IF(OR(L205="",M205=""),"","SE?")</f>
        <v/>
      </c>
    </row>
    <row r="206" customFormat="false" ht="17" hidden="false" customHeight="true" outlineLevel="0" collapsed="false">
      <c r="C206" s="2" t="n">
        <f aca="false">L__B!$C$206</f>
        <v>24</v>
      </c>
      <c r="D206" s="2" t="n">
        <f aca="false">L__B!$D$206</f>
        <v>7</v>
      </c>
      <c r="E206" s="102" t="n">
        <f aca="false">L__B!$E$206</f>
        <v>205</v>
      </c>
      <c r="F206" s="103" t="n">
        <f aca="false">calc!$AN$206</f>
        <v>121.707895704791</v>
      </c>
      <c r="G206" s="103" t="n">
        <f aca="false">IF(ABS(F206-F205)&lt;100,F206,"")</f>
        <v>121.707895704791</v>
      </c>
      <c r="H206" s="16" t="n">
        <f aca="false">calc!$X$206</f>
        <v>69.3236940631068</v>
      </c>
      <c r="I206" s="104" t="n">
        <f aca="false">IF(ABS(H206-H205)&lt;100,H206,"")</f>
        <v>69.3236940631068</v>
      </c>
      <c r="J206" s="6" t="n">
        <f aca="false">calc!$Z$206</f>
        <v>1.67666174276622</v>
      </c>
      <c r="K206" s="16" t="n">
        <f aca="false">10*J206</f>
        <v>16.7666174276622</v>
      </c>
      <c r="L206" s="6" t="str">
        <f aca="false">IF(ABS(H206-F206)/17.4&lt;1,(H206-F206)/17.4,"")</f>
        <v/>
      </c>
      <c r="M206" s="6" t="str">
        <f aca="false">IF(ABS(J206)/1.58&lt;1,J206/1.58/1.58,"")</f>
        <v/>
      </c>
      <c r="N206" s="6" t="str">
        <f aca="false">IF(OR(L206="",M206=""),"",ABS(L206)+ABS(M206))</f>
        <v/>
      </c>
      <c r="O206" s="3" t="str">
        <f aca="false">IF(OR(L206="",M206=""),"","SE?")</f>
        <v/>
      </c>
    </row>
    <row r="207" customFormat="false" ht="17" hidden="false" customHeight="true" outlineLevel="0" collapsed="false">
      <c r="C207" s="2" t="n">
        <f aca="false">L__B!$C$207</f>
        <v>25</v>
      </c>
      <c r="D207" s="2" t="n">
        <f aca="false">L__B!$D$207</f>
        <v>7</v>
      </c>
      <c r="E207" s="102" t="n">
        <f aca="false">L__B!$E$207</f>
        <v>206</v>
      </c>
      <c r="F207" s="103" t="n">
        <f aca="false">calc!$AN$207</f>
        <v>122.693543068641</v>
      </c>
      <c r="G207" s="103" t="n">
        <f aca="false">IF(ABS(F207-F206)&lt;100,F207,"")</f>
        <v>122.693543068641</v>
      </c>
      <c r="H207" s="16" t="n">
        <f aca="false">calc!$X$207</f>
        <v>81.1626740731639</v>
      </c>
      <c r="I207" s="104" t="n">
        <f aca="false">IF(ABS(H207-H206)&lt;100,H207,"")</f>
        <v>81.1626740731639</v>
      </c>
      <c r="J207" s="6" t="n">
        <f aca="false">calc!$Z$207</f>
        <v>2.62100882975265</v>
      </c>
      <c r="K207" s="16" t="n">
        <f aca="false">10*J207</f>
        <v>26.2100882975265</v>
      </c>
      <c r="L207" s="6" t="str">
        <f aca="false">IF(ABS(H207-F207)/17.4&lt;1,(H207-F207)/17.4,"")</f>
        <v/>
      </c>
      <c r="M207" s="6" t="str">
        <f aca="false">IF(ABS(J207)/1.58&lt;1,J207/1.58/1.58,"")</f>
        <v/>
      </c>
      <c r="N207" s="6" t="str">
        <f aca="false">IF(OR(L207="",M207=""),"",ABS(L207)+ABS(M207))</f>
        <v/>
      </c>
      <c r="O207" s="3" t="str">
        <f aca="false">IF(OR(L207="",M207=""),"","SE?")</f>
        <v/>
      </c>
    </row>
    <row r="208" customFormat="false" ht="17" hidden="false" customHeight="true" outlineLevel="0" collapsed="false">
      <c r="C208" s="2" t="n">
        <f aca="false">L__B!$C$208</f>
        <v>26</v>
      </c>
      <c r="D208" s="2" t="n">
        <f aca="false">L__B!$D$208</f>
        <v>7</v>
      </c>
      <c r="E208" s="102" t="n">
        <f aca="false">L__B!$E$208</f>
        <v>207</v>
      </c>
      <c r="F208" s="103" t="n">
        <f aca="false">calc!$AN$208</f>
        <v>123.679190432489</v>
      </c>
      <c r="G208" s="103" t="n">
        <f aca="false">IF(ABS(F208-F207)&lt;100,F208,"")</f>
        <v>123.679190432489</v>
      </c>
      <c r="H208" s="16" t="n">
        <f aca="false">calc!$X$208</f>
        <v>92.9732063042147</v>
      </c>
      <c r="I208" s="104" t="n">
        <f aca="false">IF(ABS(H208-H207)&lt;100,H208,"")</f>
        <v>92.9732063042147</v>
      </c>
      <c r="J208" s="6" t="n">
        <f aca="false">calc!$Z$208</f>
        <v>3.44704870822265</v>
      </c>
      <c r="K208" s="16" t="n">
        <f aca="false">10*J208</f>
        <v>34.4704870822265</v>
      </c>
      <c r="L208" s="6" t="str">
        <f aca="false">IF(ABS(H208-F208)/17.4&lt;1,(H208-F208)/17.4,"")</f>
        <v/>
      </c>
      <c r="M208" s="6" t="str">
        <f aca="false">IF(ABS(J208)/1.58&lt;1,J208/1.58/1.58,"")</f>
        <v/>
      </c>
      <c r="N208" s="6" t="str">
        <f aca="false">IF(OR(L208="",M208=""),"",ABS(L208)+ABS(M208))</f>
        <v/>
      </c>
      <c r="O208" s="3" t="str">
        <f aca="false">IF(OR(L208="",M208=""),"","SE?")</f>
        <v/>
      </c>
    </row>
    <row r="209" customFormat="false" ht="17" hidden="false" customHeight="true" outlineLevel="0" collapsed="false">
      <c r="C209" s="2" t="n">
        <f aca="false">L__B!$C$209</f>
        <v>27</v>
      </c>
      <c r="D209" s="2" t="n">
        <f aca="false">L__B!$D$209</f>
        <v>7</v>
      </c>
      <c r="E209" s="102" t="n">
        <f aca="false">L__B!$E$209</f>
        <v>208</v>
      </c>
      <c r="F209" s="103" t="n">
        <f aca="false">calc!$AN$209</f>
        <v>124.664837796343</v>
      </c>
      <c r="G209" s="103" t="n">
        <f aca="false">IF(ABS(F209-F208)&lt;100,F209,"")</f>
        <v>124.664837796343</v>
      </c>
      <c r="H209" s="16" t="n">
        <f aca="false">calc!$X$209</f>
        <v>104.805555609817</v>
      </c>
      <c r="I209" s="104" t="n">
        <f aca="false">IF(ABS(H209-H208)&lt;100,H209,"")</f>
        <v>104.805555609817</v>
      </c>
      <c r="J209" s="6" t="n">
        <f aca="false">calc!$Z$209</f>
        <v>4.12308275610323</v>
      </c>
      <c r="K209" s="16" t="n">
        <f aca="false">10*J209</f>
        <v>41.2308275610323</v>
      </c>
      <c r="L209" s="6" t="str">
        <f aca="false">IF(ABS(H209-F209)/17.4&lt;1,(H209-F209)/17.4,"")</f>
        <v/>
      </c>
      <c r="M209" s="6" t="str">
        <f aca="false">IF(ABS(J209)/1.58&lt;1,J209/1.58/1.58,"")</f>
        <v/>
      </c>
      <c r="N209" s="6" t="str">
        <f aca="false">IF(OR(L209="",M209=""),"",ABS(L209)+ABS(M209))</f>
        <v/>
      </c>
      <c r="O209" s="3" t="str">
        <f aca="false">IF(OR(L209="",M209=""),"","SE?")</f>
        <v/>
      </c>
    </row>
    <row r="210" customFormat="false" ht="17" hidden="false" customHeight="true" outlineLevel="0" collapsed="false">
      <c r="C210" s="2" t="n">
        <f aca="false">L__B!$C$210</f>
        <v>28</v>
      </c>
      <c r="D210" s="2" t="n">
        <f aca="false">L__B!$D$210</f>
        <v>7</v>
      </c>
      <c r="E210" s="102" t="n">
        <f aca="false">L__B!$E$210</f>
        <v>209</v>
      </c>
      <c r="F210" s="103" t="n">
        <f aca="false">calc!$AN$210</f>
        <v>125.650485160191</v>
      </c>
      <c r="G210" s="103" t="n">
        <f aca="false">IF(ABS(F210-F209)&lt;100,F210,"")</f>
        <v>125.650485160191</v>
      </c>
      <c r="H210" s="16" t="n">
        <f aca="false">calc!$X$210</f>
        <v>116.69742685316</v>
      </c>
      <c r="I210" s="104" t="n">
        <f aca="false">IF(ABS(H210-H209)&lt;100,H210,"")</f>
        <v>116.69742685316</v>
      </c>
      <c r="J210" s="6" t="n">
        <f aca="false">calc!$Z$210</f>
        <v>4.62143163642959</v>
      </c>
      <c r="K210" s="16" t="n">
        <f aca="false">10*J210</f>
        <v>46.2143163642959</v>
      </c>
      <c r="L210" s="6" t="n">
        <f aca="false">IF(ABS(H210-F210)/17.4&lt;1,(H210-F210)/17.4,"")</f>
        <v>-0.514543580863863</v>
      </c>
      <c r="M210" s="6" t="str">
        <f aca="false">IF(ABS(J210)/1.58&lt;1,J210/1.58/1.58,"")</f>
        <v/>
      </c>
      <c r="N210" s="6" t="str">
        <f aca="false">IF(OR(L210="",M210=""),"",ABS(L210)+ABS(M210))</f>
        <v/>
      </c>
      <c r="O210" s="3" t="str">
        <f aca="false">IF(OR(L210="",M210=""),"","SE?")</f>
        <v/>
      </c>
    </row>
    <row r="211" customFormat="false" ht="17" hidden="false" customHeight="true" outlineLevel="0" collapsed="false">
      <c r="C211" s="2" t="n">
        <f aca="false">L__B!$C$211</f>
        <v>29</v>
      </c>
      <c r="D211" s="2" t="n">
        <f aca="false">L__B!$D$211</f>
        <v>7</v>
      </c>
      <c r="E211" s="102" t="n">
        <f aca="false">L__B!$E$211</f>
        <v>210</v>
      </c>
      <c r="F211" s="103" t="n">
        <f aca="false">calc!$AN$211</f>
        <v>126.636132524043</v>
      </c>
      <c r="G211" s="103" t="n">
        <f aca="false">IF(ABS(F211-F210)&lt;100,F211,"")</f>
        <v>126.636132524043</v>
      </c>
      <c r="H211" s="16" t="n">
        <f aca="false">calc!$X$211</f>
        <v>128.676230517595</v>
      </c>
      <c r="I211" s="104" t="n">
        <f aca="false">IF(ABS(H211-H210)&lt;100,H211,"")</f>
        <v>128.676230517595</v>
      </c>
      <c r="J211" s="6" t="n">
        <f aca="false">calc!$Z$211</f>
        <v>4.919403977088</v>
      </c>
      <c r="K211" s="16" t="n">
        <f aca="false">10*J211</f>
        <v>49.19403977088</v>
      </c>
      <c r="L211" s="6" t="n">
        <f aca="false">IF(ABS(H211-F211)/17.4&lt;1,(H211-F211)/17.4,"")</f>
        <v>0.117247011123684</v>
      </c>
      <c r="M211" s="6" t="str">
        <f aca="false">IF(ABS(J211)/1.58&lt;1,J211/1.58/1.58,"")</f>
        <v/>
      </c>
      <c r="N211" s="6" t="str">
        <f aca="false">IF(OR(L211="",M211=""),"",ABS(L211)+ABS(M211))</f>
        <v/>
      </c>
      <c r="O211" s="3" t="str">
        <f aca="false">IF(OR(L211="",M211=""),"","SE?")</f>
        <v/>
      </c>
    </row>
    <row r="212" customFormat="false" ht="17" hidden="false" customHeight="true" outlineLevel="0" collapsed="false">
      <c r="C212" s="2" t="n">
        <f aca="false">L__B!$C$212</f>
        <v>30</v>
      </c>
      <c r="D212" s="2" t="n">
        <f aca="false">L__B!$D$212</f>
        <v>7</v>
      </c>
      <c r="E212" s="102" t="n">
        <f aca="false">L__B!$E$212</f>
        <v>211</v>
      </c>
      <c r="F212" s="103" t="n">
        <f aca="false">calc!$AN$212</f>
        <v>127.621779887895</v>
      </c>
      <c r="G212" s="103" t="n">
        <f aca="false">IF(ABS(F212-F211)&lt;100,F212,"")</f>
        <v>127.621779887895</v>
      </c>
      <c r="H212" s="16" t="n">
        <f aca="false">calc!$X$212</f>
        <v>140.762106361377</v>
      </c>
      <c r="I212" s="104" t="n">
        <f aca="false">IF(ABS(H212-H211)&lt;100,H212,"")</f>
        <v>140.762106361377</v>
      </c>
      <c r="J212" s="6" t="n">
        <f aca="false">calc!$Z$212</f>
        <v>5.00040429176415</v>
      </c>
      <c r="K212" s="16" t="n">
        <f aca="false">10*J212</f>
        <v>50.0040429176415</v>
      </c>
      <c r="L212" s="6" t="n">
        <f aca="false">IF(ABS(H212-F212)/17.4&lt;1,(H212-F212)/17.4,"")</f>
        <v>0.755191176636886</v>
      </c>
      <c r="M212" s="6" t="str">
        <f aca="false">IF(ABS(J212)/1.58&lt;1,J212/1.58/1.58,"")</f>
        <v/>
      </c>
      <c r="N212" s="6" t="str">
        <f aca="false">IF(OR(L212="",M212=""),"",ABS(L212)+ABS(M212))</f>
        <v/>
      </c>
      <c r="O212" s="3" t="str">
        <f aca="false">IF(OR(L212="",M212=""),"","SE?")</f>
        <v/>
      </c>
    </row>
    <row r="213" customFormat="false" ht="17" hidden="false" customHeight="true" outlineLevel="0" collapsed="false">
      <c r="C213" s="2" t="n">
        <f aca="false">L__B!$C$213</f>
        <v>31</v>
      </c>
      <c r="D213" s="2" t="n">
        <f aca="false">L__B!$D$213</f>
        <v>7</v>
      </c>
      <c r="E213" s="102" t="n">
        <f aca="false">L__B!$E$213</f>
        <v>212</v>
      </c>
      <c r="F213" s="103" t="n">
        <f aca="false">calc!$AN$213</f>
        <v>128.607427251747</v>
      </c>
      <c r="G213" s="103" t="n">
        <f aca="false">IF(ABS(F213-F212)&lt;100,F213,"")</f>
        <v>128.607427251747</v>
      </c>
      <c r="H213" s="16" t="n">
        <f aca="false">calc!$X$213</f>
        <v>152.971792076556</v>
      </c>
      <c r="I213" s="104" t="n">
        <f aca="false">IF(ABS(H213-H212)&lt;100,H213,"")</f>
        <v>152.971792076556</v>
      </c>
      <c r="J213" s="6" t="n">
        <f aca="false">calc!$Z$213</f>
        <v>4.85505713131028</v>
      </c>
      <c r="K213" s="16" t="n">
        <f aca="false">10*J213</f>
        <v>48.5505713131028</v>
      </c>
      <c r="L213" s="6" t="str">
        <f aca="false">IF(ABS(H213-F213)/17.4&lt;1,(H213-F213)/17.4,"")</f>
        <v/>
      </c>
      <c r="M213" s="6" t="str">
        <f aca="false">IF(ABS(J213)/1.58&lt;1,J213/1.58/1.58,"")</f>
        <v/>
      </c>
      <c r="N213" s="6" t="str">
        <f aca="false">IF(OR(L213="",M213=""),"",ABS(L213)+ABS(M213))</f>
        <v/>
      </c>
      <c r="O213" s="3" t="str">
        <f aca="false">IF(OR(L213="",M213=""),"","SE?")</f>
        <v/>
      </c>
    </row>
    <row r="214" customFormat="false" ht="17" hidden="false" customHeight="true" outlineLevel="0" collapsed="false">
      <c r="C214" s="2" t="n">
        <f aca="false">L__B!$C$214</f>
        <v>1</v>
      </c>
      <c r="D214" s="2" t="n">
        <f aca="false">L__B!$D$214</f>
        <v>8</v>
      </c>
      <c r="E214" s="102" t="n">
        <f aca="false">L__B!$E$214</f>
        <v>213</v>
      </c>
      <c r="F214" s="103" t="n">
        <f aca="false">calc!$AN$214</f>
        <v>129.593074615599</v>
      </c>
      <c r="G214" s="103" t="n">
        <f aca="false">IF(ABS(F214-F213)&lt;100,F214,"")</f>
        <v>129.593074615599</v>
      </c>
      <c r="H214" s="16" t="n">
        <f aca="false">calc!$X$214</f>
        <v>165.323289125193</v>
      </c>
      <c r="I214" s="104" t="n">
        <f aca="false">IF(ABS(H214-H213)&lt;100,H214,"")</f>
        <v>165.323289125193</v>
      </c>
      <c r="J214" s="6" t="n">
        <f aca="false">calc!$Z$214</f>
        <v>4.48220047307954</v>
      </c>
      <c r="K214" s="16" t="n">
        <f aca="false">10*J214</f>
        <v>44.8220047307954</v>
      </c>
      <c r="L214" s="6" t="str">
        <f aca="false">IF(ABS(H214-F214)/17.4&lt;1,(H214-F214)/17.4,"")</f>
        <v/>
      </c>
      <c r="M214" s="6" t="str">
        <f aca="false">IF(ABS(J214)/1.58&lt;1,J214/1.58/1.58,"")</f>
        <v/>
      </c>
      <c r="N214" s="6" t="str">
        <f aca="false">IF(OR(L214="",M214=""),"",ABS(L214)+ABS(M214))</f>
        <v/>
      </c>
      <c r="O214" s="3" t="str">
        <f aca="false">IF(OR(L214="",M214=""),"","SE?")</f>
        <v/>
      </c>
    </row>
    <row r="215" customFormat="false" ht="17" hidden="false" customHeight="true" outlineLevel="0" collapsed="false">
      <c r="C215" s="2" t="n">
        <f aca="false">L__B!$C$215</f>
        <v>2</v>
      </c>
      <c r="D215" s="2" t="n">
        <f aca="false">L__B!$D$215</f>
        <v>8</v>
      </c>
      <c r="E215" s="102" t="n">
        <f aca="false">L__B!$E$215</f>
        <v>214</v>
      </c>
      <c r="F215" s="103" t="n">
        <f aca="false">calc!$AN$215</f>
        <v>130.578721979451</v>
      </c>
      <c r="G215" s="103" t="n">
        <f aca="false">IF(ABS(F215-F214)&lt;100,F215,"")</f>
        <v>130.578721979451</v>
      </c>
      <c r="H215" s="16" t="n">
        <f aca="false">calc!$X$215</f>
        <v>177.840677915366</v>
      </c>
      <c r="I215" s="104" t="n">
        <f aca="false">IF(ABS(H215-H214)&lt;100,H215,"")</f>
        <v>177.840677915366</v>
      </c>
      <c r="J215" s="6" t="n">
        <f aca="false">calc!$Z$215</f>
        <v>3.88962708447026</v>
      </c>
      <c r="K215" s="16" t="n">
        <f aca="false">10*J215</f>
        <v>38.8962708447026</v>
      </c>
      <c r="L215" s="6" t="str">
        <f aca="false">IF(ABS(H215-F215)/17.4&lt;1,(H215-F215)/17.4,"")</f>
        <v/>
      </c>
      <c r="M215" s="6" t="str">
        <f aca="false">IF(ABS(J215)/1.58&lt;1,J215/1.58/1.58,"")</f>
        <v/>
      </c>
      <c r="N215" s="6" t="str">
        <f aca="false">IF(OR(L215="",M215=""),"",ABS(L215)+ABS(M215))</f>
        <v/>
      </c>
      <c r="O215" s="3" t="str">
        <f aca="false">IF(OR(L215="",M215=""),"","SE?")</f>
        <v/>
      </c>
    </row>
    <row r="216" customFormat="false" ht="17" hidden="false" customHeight="true" outlineLevel="0" collapsed="false">
      <c r="C216" s="2" t="n">
        <f aca="false">L__B!$C$216</f>
        <v>3</v>
      </c>
      <c r="D216" s="2" t="n">
        <f aca="false">L__B!$D$216</f>
        <v>8</v>
      </c>
      <c r="E216" s="102" t="n">
        <f aca="false">L__B!$E$216</f>
        <v>215</v>
      </c>
      <c r="F216" s="103" t="n">
        <f aca="false">calc!$AN$216</f>
        <v>131.564369343305</v>
      </c>
      <c r="G216" s="103" t="n">
        <f aca="false">IF(ABS(F216-F215)&lt;100,F216,"")</f>
        <v>131.564369343305</v>
      </c>
      <c r="H216" s="16" t="n">
        <f aca="false">calc!$X$216</f>
        <v>190.557689935079</v>
      </c>
      <c r="I216" s="104" t="n">
        <f aca="false">IF(ABS(H216-H215)&lt;100,H216,"")</f>
        <v>190.557689935079</v>
      </c>
      <c r="J216" s="6" t="n">
        <f aca="false">calc!$Z$216</f>
        <v>3.09461554838462</v>
      </c>
      <c r="K216" s="16" t="n">
        <f aca="false">10*J216</f>
        <v>30.9461554838462</v>
      </c>
      <c r="L216" s="6" t="str">
        <f aca="false">IF(ABS(H216-F216)/17.4&lt;1,(H216-F216)/17.4,"")</f>
        <v/>
      </c>
      <c r="M216" s="6" t="str">
        <f aca="false">IF(ABS(J216)/1.58&lt;1,J216/1.58/1.58,"")</f>
        <v/>
      </c>
      <c r="N216" s="6" t="str">
        <f aca="false">IF(OR(L216="",M216=""),"",ABS(L216)+ABS(M216))</f>
        <v/>
      </c>
      <c r="O216" s="3" t="str">
        <f aca="false">IF(OR(L216="",M216=""),"","SE?")</f>
        <v/>
      </c>
    </row>
    <row r="217" customFormat="false" ht="17" hidden="false" customHeight="true" outlineLevel="0" collapsed="false">
      <c r="C217" s="2" t="n">
        <f aca="false">L__B!$C$217</f>
        <v>4</v>
      </c>
      <c r="D217" s="2" t="n">
        <f aca="false">L__B!$D$217</f>
        <v>8</v>
      </c>
      <c r="E217" s="102" t="n">
        <f aca="false">L__B!$E$217</f>
        <v>216</v>
      </c>
      <c r="F217" s="103" t="n">
        <f aca="false">calc!$AN$217</f>
        <v>132.55001670716</v>
      </c>
      <c r="G217" s="103" t="n">
        <f aca="false">IF(ABS(F217-F216)&lt;100,F217,"")</f>
        <v>132.55001670716</v>
      </c>
      <c r="H217" s="16" t="n">
        <f aca="false">calc!$X$217</f>
        <v>203.51822188362</v>
      </c>
      <c r="I217" s="104" t="n">
        <f aca="false">IF(ABS(H217-H216)&lt;100,H217,"")</f>
        <v>203.51822188362</v>
      </c>
      <c r="J217" s="6" t="n">
        <f aca="false">calc!$Z$217</f>
        <v>2.12452660753731</v>
      </c>
      <c r="K217" s="16" t="n">
        <f aca="false">10*J217</f>
        <v>21.2452660753731</v>
      </c>
      <c r="L217" s="6" t="str">
        <f aca="false">IF(ABS(H217-F217)/17.4&lt;1,(H217-F217)/17.4,"")</f>
        <v/>
      </c>
      <c r="M217" s="6" t="str">
        <f aca="false">IF(ABS(J217)/1.58&lt;1,J217/1.58/1.58,"")</f>
        <v/>
      </c>
      <c r="N217" s="6" t="str">
        <f aca="false">IF(OR(L217="",M217=""),"",ABS(L217)+ABS(M217))</f>
        <v/>
      </c>
      <c r="O217" s="3" t="str">
        <f aca="false">IF(OR(L217="",M217=""),"","SE?")</f>
        <v/>
      </c>
    </row>
    <row r="218" customFormat="false" ht="17" hidden="false" customHeight="true" outlineLevel="0" collapsed="false">
      <c r="C218" s="2" t="n">
        <f aca="false">L__B!$C$218</f>
        <v>5</v>
      </c>
      <c r="D218" s="2" t="n">
        <f aca="false">L__B!$D$218</f>
        <v>8</v>
      </c>
      <c r="E218" s="102" t="n">
        <f aca="false">L__B!$E$218</f>
        <v>217</v>
      </c>
      <c r="F218" s="103" t="n">
        <f aca="false">calc!$AN$218</f>
        <v>133.535664071012</v>
      </c>
      <c r="G218" s="103" t="n">
        <f aca="false">IF(ABS(F218-F217)&lt;100,F218,"")</f>
        <v>133.535664071012</v>
      </c>
      <c r="H218" s="16" t="n">
        <f aca="false">calc!$X$218</f>
        <v>216.772264095612</v>
      </c>
      <c r="I218" s="104" t="n">
        <f aca="false">IF(ABS(H218-H217)&lt;100,H218,"")</f>
        <v>216.772264095612</v>
      </c>
      <c r="J218" s="6" t="n">
        <f aca="false">calc!$Z$218</f>
        <v>1.01781415119021</v>
      </c>
      <c r="K218" s="16" t="n">
        <f aca="false">10*J218</f>
        <v>10.1781415119021</v>
      </c>
      <c r="L218" s="6" t="str">
        <f aca="false">IF(ABS(H218-F218)/17.4&lt;1,(H218-F218)/17.4,"")</f>
        <v/>
      </c>
      <c r="M218" s="6" t="n">
        <f aca="false">IF(ABS(J218)/1.58&lt;1,J218/1.58/1.58,"")</f>
        <v>0.407712766860364</v>
      </c>
      <c r="N218" s="6" t="str">
        <f aca="false">IF(OR(L218="",M218=""),"",ABS(L218)+ABS(M218))</f>
        <v/>
      </c>
      <c r="O218" s="3" t="str">
        <f aca="false">IF(OR(L218="",M218=""),"","SE?")</f>
        <v/>
      </c>
    </row>
    <row r="219" customFormat="false" ht="17" hidden="false" customHeight="true" outlineLevel="0" collapsed="false">
      <c r="C219" s="2" t="n">
        <f aca="false">L__B!$C$219</f>
        <v>6</v>
      </c>
      <c r="D219" s="2" t="n">
        <f aca="false">L__B!$D$219</f>
        <v>8</v>
      </c>
      <c r="E219" s="102" t="n">
        <f aca="false">L__B!$E$219</f>
        <v>218</v>
      </c>
      <c r="F219" s="103" t="n">
        <f aca="false">calc!$AN$219</f>
        <v>134.521311434868</v>
      </c>
      <c r="G219" s="103" t="n">
        <f aca="false">IF(ABS(F219-F218)&lt;100,F219,"")</f>
        <v>134.521311434868</v>
      </c>
      <c r="H219" s="16" t="n">
        <f aca="false">calc!$X$219</f>
        <v>230.366819369016</v>
      </c>
      <c r="I219" s="104" t="n">
        <f aca="false">IF(ABS(H219-H218)&lt;100,H219,"")</f>
        <v>230.366819369016</v>
      </c>
      <c r="J219" s="6" t="n">
        <f aca="false">calc!$Z$219</f>
        <v>-0.174534470616219</v>
      </c>
      <c r="K219" s="16" t="n">
        <f aca="false">10*J219</f>
        <v>-1.74534470616219</v>
      </c>
      <c r="L219" s="6" t="str">
        <f aca="false">IF(ABS(H219-F219)/17.4&lt;1,(H219-F219)/17.4,"")</f>
        <v/>
      </c>
      <c r="M219" s="6" t="n">
        <f aca="false">IF(ABS(J219)/1.58&lt;1,J219/1.58/1.58,"")</f>
        <v>-0.0699144650761974</v>
      </c>
      <c r="N219" s="6" t="str">
        <f aca="false">IF(OR(L219="",M219=""),"",ABS(L219)+ABS(M219))</f>
        <v/>
      </c>
      <c r="O219" s="3" t="str">
        <f aca="false">IF(OR(L219="",M219=""),"","SE?")</f>
        <v/>
      </c>
    </row>
    <row r="220" customFormat="false" ht="17" hidden="false" customHeight="true" outlineLevel="0" collapsed="false">
      <c r="C220" s="2" t="n">
        <f aca="false">L__B!$C$220</f>
        <v>7</v>
      </c>
      <c r="D220" s="2" t="n">
        <f aca="false">L__B!$D$220</f>
        <v>8</v>
      </c>
      <c r="E220" s="102" t="n">
        <f aca="false">L__B!$E$220</f>
        <v>219</v>
      </c>
      <c r="F220" s="103" t="n">
        <f aca="false">calc!$AN$220</f>
        <v>135.506958798724</v>
      </c>
      <c r="G220" s="103" t="n">
        <f aca="false">IF(ABS(F220-F219)&lt;100,F220,"")</f>
        <v>135.506958798724</v>
      </c>
      <c r="H220" s="16" t="n">
        <f aca="false">calc!$X$220</f>
        <v>244.333045439623</v>
      </c>
      <c r="I220" s="104" t="n">
        <f aca="false">IF(ABS(H220-H219)&lt;100,H220,"")</f>
        <v>244.333045439623</v>
      </c>
      <c r="J220" s="6" t="n">
        <f aca="false">calc!$Z$220</f>
        <v>-1.38789235131864</v>
      </c>
      <c r="K220" s="16" t="n">
        <f aca="false">10*J220</f>
        <v>-13.8789235131864</v>
      </c>
      <c r="L220" s="6" t="str">
        <f aca="false">IF(ABS(H220-F220)/17.4&lt;1,(H220-F220)/17.4,"")</f>
        <v/>
      </c>
      <c r="M220" s="6" t="n">
        <f aca="false">IF(ABS(J220)/1.58&lt;1,J220/1.58/1.58,"")</f>
        <v>-0.555957519355329</v>
      </c>
      <c r="N220" s="6" t="str">
        <f aca="false">IF(OR(L220="",M220=""),"",ABS(L220)+ABS(M220))</f>
        <v/>
      </c>
      <c r="O220" s="3" t="str">
        <f aca="false">IF(OR(L220="",M220=""),"","SE?")</f>
        <v/>
      </c>
    </row>
    <row r="221" customFormat="false" ht="17" hidden="false" customHeight="true" outlineLevel="0" collapsed="false">
      <c r="C221" s="2" t="n">
        <f aca="false">L__B!$C$221</f>
        <v>8</v>
      </c>
      <c r="D221" s="2" t="n">
        <f aca="false">L__B!$D$221</f>
        <v>8</v>
      </c>
      <c r="E221" s="102" t="n">
        <f aca="false">L__B!$E$221</f>
        <v>220</v>
      </c>
      <c r="F221" s="103" t="n">
        <f aca="false">calc!$AN$221</f>
        <v>136.492606162577</v>
      </c>
      <c r="G221" s="103" t="n">
        <f aca="false">IF(ABS(F221-F220)&lt;100,F221,"")</f>
        <v>136.492606162577</v>
      </c>
      <c r="H221" s="16" t="n">
        <f aca="false">calc!$X$221</f>
        <v>258.67250166201</v>
      </c>
      <c r="I221" s="104" t="n">
        <f aca="false">IF(ABS(H221-H220)&lt;100,H221,"")</f>
        <v>258.67250166201</v>
      </c>
      <c r="J221" s="6" t="n">
        <f aca="false">calc!$Z$221</f>
        <v>-2.54486210078593</v>
      </c>
      <c r="K221" s="16" t="n">
        <f aca="false">10*J221</f>
        <v>-25.4486210078593</v>
      </c>
      <c r="L221" s="6" t="str">
        <f aca="false">IF(ABS(H221-F221)/17.4&lt;1,(H221-F221)/17.4,"")</f>
        <v/>
      </c>
      <c r="M221" s="6" t="str">
        <f aca="false">IF(ABS(J221)/1.58&lt;1,J221/1.58/1.58,"")</f>
        <v/>
      </c>
      <c r="N221" s="6" t="str">
        <f aca="false">IF(OR(L221="",M221=""),"",ABS(L221)+ABS(M221))</f>
        <v/>
      </c>
      <c r="O221" s="3" t="str">
        <f aca="false">IF(OR(L221="",M221=""),"","SE?")</f>
        <v/>
      </c>
    </row>
    <row r="222" customFormat="false" ht="17" hidden="false" customHeight="true" outlineLevel="0" collapsed="false">
      <c r="C222" s="2" t="n">
        <f aca="false">L__B!$C$222</f>
        <v>9</v>
      </c>
      <c r="D222" s="2" t="n">
        <f aca="false">L__B!$D$222</f>
        <v>8</v>
      </c>
      <c r="E222" s="102" t="n">
        <f aca="false">L__B!$E$222</f>
        <v>221</v>
      </c>
      <c r="F222" s="103" t="n">
        <f aca="false">calc!$AN$222</f>
        <v>137.478253526433</v>
      </c>
      <c r="G222" s="103" t="n">
        <f aca="false">IF(ABS(F222-F221)&lt;100,F222,"")</f>
        <v>137.478253526433</v>
      </c>
      <c r="H222" s="16" t="n">
        <f aca="false">calc!$X$222</f>
        <v>273.346362490732</v>
      </c>
      <c r="I222" s="104" t="n">
        <f aca="false">IF(ABS(H222-H221)&lt;100,H222,"")</f>
        <v>273.346362490732</v>
      </c>
      <c r="J222" s="6" t="n">
        <f aca="false">calc!$Z$222</f>
        <v>-3.56005255331553</v>
      </c>
      <c r="K222" s="16" t="n">
        <f aca="false">10*J222</f>
        <v>-35.6005255331553</v>
      </c>
      <c r="L222" s="6" t="str">
        <f aca="false">IF(ABS(H222-F222)/17.4&lt;1,(H222-F222)/17.4,"")</f>
        <v/>
      </c>
      <c r="M222" s="6" t="str">
        <f aca="false">IF(ABS(J222)/1.58&lt;1,J222/1.58/1.58,"")</f>
        <v/>
      </c>
      <c r="N222" s="6" t="str">
        <f aca="false">IF(OR(L222="",M222=""),"",ABS(L222)+ABS(M222))</f>
        <v/>
      </c>
      <c r="O222" s="3" t="str">
        <f aca="false">IF(OR(L222="",M222=""),"","SE?")</f>
        <v/>
      </c>
    </row>
    <row r="223" customFormat="false" ht="17" hidden="false" customHeight="true" outlineLevel="0" collapsed="false">
      <c r="C223" s="2" t="n">
        <f aca="false">L__B!$C$223</f>
        <v>10</v>
      </c>
      <c r="D223" s="2" t="n">
        <f aca="false">L__B!$D$223</f>
        <v>8</v>
      </c>
      <c r="E223" s="102" t="n">
        <f aca="false">L__B!$E$223</f>
        <v>222</v>
      </c>
      <c r="F223" s="103" t="n">
        <f aca="false">calc!$AN$223</f>
        <v>138.46390089029</v>
      </c>
      <c r="G223" s="103" t="n">
        <f aca="false">IF(ABS(F223-F222)&lt;100,F223,"")</f>
        <v>138.46390089029</v>
      </c>
      <c r="H223" s="16" t="n">
        <f aca="false">calc!$X$223</f>
        <v>288.271293441767</v>
      </c>
      <c r="I223" s="104" t="n">
        <f aca="false">IF(ABS(H223-H222)&lt;100,H223,"")</f>
        <v>288.271293441767</v>
      </c>
      <c r="J223" s="6" t="n">
        <f aca="false">calc!$Z$223</f>
        <v>-4.34972788331311</v>
      </c>
      <c r="K223" s="16" t="n">
        <f aca="false">10*J223</f>
        <v>-43.4972788331311</v>
      </c>
      <c r="L223" s="6" t="str">
        <f aca="false">IF(ABS(H223-F223)/17.4&lt;1,(H223-F223)/17.4,"")</f>
        <v/>
      </c>
      <c r="M223" s="6" t="str">
        <f aca="false">IF(ABS(J223)/1.58&lt;1,J223/1.58/1.58,"")</f>
        <v/>
      </c>
      <c r="N223" s="6" t="str">
        <f aca="false">IF(OR(L223="",M223=""),"",ABS(L223)+ABS(M223))</f>
        <v/>
      </c>
      <c r="O223" s="3" t="str">
        <f aca="false">IF(OR(L223="",M223=""),"","SE?")</f>
        <v/>
      </c>
    </row>
    <row r="224" customFormat="false" ht="17" hidden="false" customHeight="true" outlineLevel="0" collapsed="false">
      <c r="C224" s="2" t="n">
        <f aca="false">L__B!$C$224</f>
        <v>11</v>
      </c>
      <c r="D224" s="2" t="n">
        <f aca="false">L__B!$D$224</f>
        <v>8</v>
      </c>
      <c r="E224" s="102" t="n">
        <f aca="false">L__B!$E$224</f>
        <v>223</v>
      </c>
      <c r="F224" s="103" t="n">
        <f aca="false">calc!$AN$224</f>
        <v>139.449548254148</v>
      </c>
      <c r="G224" s="103" t="n">
        <f aca="false">IF(ABS(F224-F223)&lt;100,F224,"")</f>
        <v>139.449548254148</v>
      </c>
      <c r="H224" s="16" t="n">
        <f aca="false">calc!$X$224</f>
        <v>303.324270481862</v>
      </c>
      <c r="I224" s="104" t="n">
        <f aca="false">IF(ABS(H224-H223)&lt;100,H224,"")</f>
        <v>303.324270481862</v>
      </c>
      <c r="J224" s="6" t="n">
        <f aca="false">calc!$Z$224</f>
        <v>-4.84502157639039</v>
      </c>
      <c r="K224" s="16" t="n">
        <f aca="false">10*J224</f>
        <v>-48.4502157639039</v>
      </c>
      <c r="L224" s="6" t="str">
        <f aca="false">IF(ABS(H224-F224)/17.4&lt;1,(H224-F224)/17.4,"")</f>
        <v/>
      </c>
      <c r="M224" s="6" t="str">
        <f aca="false">IF(ABS(J224)/1.58&lt;1,J224/1.58/1.58,"")</f>
        <v/>
      </c>
      <c r="N224" s="6" t="str">
        <f aca="false">IF(OR(L224="",M224=""),"",ABS(L224)+ABS(M224))</f>
        <v/>
      </c>
      <c r="O224" s="3" t="str">
        <f aca="false">IF(OR(L224="",M224=""),"","SE?")</f>
        <v/>
      </c>
    </row>
    <row r="225" customFormat="false" ht="17" hidden="false" customHeight="true" outlineLevel="0" collapsed="false">
      <c r="C225" s="2" t="n">
        <f aca="false">L__B!$C$225</f>
        <v>12</v>
      </c>
      <c r="D225" s="2" t="n">
        <f aca="false">L__B!$D$225</f>
        <v>8</v>
      </c>
      <c r="E225" s="102" t="n">
        <f aca="false">L__B!$E$225</f>
        <v>224</v>
      </c>
      <c r="F225" s="103" t="n">
        <f aca="false">calc!$AN$225</f>
        <v>140.435195618005</v>
      </c>
      <c r="G225" s="103" t="n">
        <f aca="false">IF(ABS(F225-F224)&lt;100,F225,"")</f>
        <v>140.435195618005</v>
      </c>
      <c r="H225" s="16" t="n">
        <f aca="false">calc!$X$225</f>
        <v>318.356318608415</v>
      </c>
      <c r="I225" s="104" t="n">
        <f aca="false">IF(ABS(H225-H224)&lt;100,H225,"")</f>
        <v>318.356318608415</v>
      </c>
      <c r="J225" s="6" t="n">
        <f aca="false">calc!$Z$225</f>
        <v>-5.00487487217245</v>
      </c>
      <c r="K225" s="16" t="n">
        <f aca="false">10*J225</f>
        <v>-50.0487487217245</v>
      </c>
      <c r="L225" s="6" t="str">
        <f aca="false">IF(ABS(H225-F225)/17.4&lt;1,(H225-F225)/17.4,"")</f>
        <v/>
      </c>
      <c r="M225" s="6" t="str">
        <f aca="false">IF(ABS(J225)/1.58&lt;1,J225/1.58/1.58,"")</f>
        <v/>
      </c>
      <c r="N225" s="6" t="str">
        <f aca="false">IF(OR(L225="",M225=""),"",ABS(L225)+ABS(M225))</f>
        <v/>
      </c>
      <c r="O225" s="3" t="str">
        <f aca="false">IF(OR(L225="",M225=""),"","SE?")</f>
        <v/>
      </c>
    </row>
    <row r="226" customFormat="false" ht="17" hidden="false" customHeight="true" outlineLevel="0" collapsed="false">
      <c r="C226" s="2" t="n">
        <f aca="false">L__B!$C$226</f>
        <v>13</v>
      </c>
      <c r="D226" s="2" t="n">
        <f aca="false">L__B!$D$226</f>
        <v>8</v>
      </c>
      <c r="E226" s="102" t="n">
        <f aca="false">L__B!$E$226</f>
        <v>225</v>
      </c>
      <c r="F226" s="103" t="n">
        <f aca="false">calc!$AN$226</f>
        <v>141.420842981865</v>
      </c>
      <c r="G226" s="103" t="n">
        <f aca="false">IF(ABS(F226-F225)&lt;100,F226,"")</f>
        <v>141.420842981865</v>
      </c>
      <c r="H226" s="16" t="n">
        <f aca="false">calc!$X$226</f>
        <v>333.212657872794</v>
      </c>
      <c r="I226" s="104" t="n">
        <f aca="false">IF(ABS(H226-H225)&lt;100,H226,"")</f>
        <v>333.212657872794</v>
      </c>
      <c r="J226" s="6" t="n">
        <f aca="false">calc!$Z$226</f>
        <v>-4.82383369908524</v>
      </c>
      <c r="K226" s="16" t="n">
        <f aca="false">10*J226</f>
        <v>-48.2383369908524</v>
      </c>
      <c r="L226" s="6" t="str">
        <f aca="false">IF(ABS(H226-F226)/17.4&lt;1,(H226-F226)/17.4,"")</f>
        <v/>
      </c>
      <c r="M226" s="6" t="str">
        <f aca="false">IF(ABS(J226)/1.58&lt;1,J226/1.58/1.58,"")</f>
        <v/>
      </c>
      <c r="N226" s="6" t="str">
        <f aca="false">IF(OR(L226="",M226=""),"",ABS(L226)+ABS(M226))</f>
        <v/>
      </c>
      <c r="O226" s="3" t="str">
        <f aca="false">IF(OR(L226="",M226=""),"","SE?")</f>
        <v/>
      </c>
    </row>
    <row r="227" customFormat="false" ht="17" hidden="false" customHeight="true" outlineLevel="0" collapsed="false">
      <c r="C227" s="2" t="n">
        <f aca="false">L__B!$C$227</f>
        <v>14</v>
      </c>
      <c r="D227" s="2" t="n">
        <f aca="false">L__B!$D$227</f>
        <v>8</v>
      </c>
      <c r="E227" s="102" t="n">
        <f aca="false">L__B!$E$227</f>
        <v>226</v>
      </c>
      <c r="F227" s="103" t="n">
        <f aca="false">calc!$AN$227</f>
        <v>142.406490345722</v>
      </c>
      <c r="G227" s="103" t="n">
        <f aca="false">IF(ABS(F227-F226)&lt;100,F227,"")</f>
        <v>142.406490345722</v>
      </c>
      <c r="H227" s="16" t="n">
        <f aca="false">calc!$X$227</f>
        <v>347.754887281836</v>
      </c>
      <c r="I227" s="104" t="n">
        <f aca="false">IF(ABS(H227-H226)&lt;100,H227,"")</f>
        <v>347.754887281836</v>
      </c>
      <c r="J227" s="6" t="n">
        <f aca="false">calc!$Z$227</f>
        <v>-4.3314772517721</v>
      </c>
      <c r="K227" s="16" t="n">
        <f aca="false">10*J227</f>
        <v>-43.314772517721</v>
      </c>
      <c r="L227" s="6" t="str">
        <f aca="false">IF(ABS(H227-F227)/17.4&lt;1,(H227-F227)/17.4,"")</f>
        <v/>
      </c>
      <c r="M227" s="6" t="str">
        <f aca="false">IF(ABS(J227)/1.58&lt;1,J227/1.58/1.58,"")</f>
        <v/>
      </c>
      <c r="N227" s="6" t="str">
        <f aca="false">IF(OR(L227="",M227=""),"",ABS(L227)+ABS(M227))</f>
        <v/>
      </c>
      <c r="O227" s="3" t="str">
        <f aca="false">IF(OR(L227="",M227=""),"","SE?")</f>
        <v/>
      </c>
    </row>
    <row r="228" customFormat="false" ht="17" hidden="false" customHeight="true" outlineLevel="0" collapsed="false">
      <c r="C228" s="2" t="n">
        <f aca="false">L__B!$C$228</f>
        <v>15</v>
      </c>
      <c r="D228" s="2" t="n">
        <f aca="false">L__B!$D$228</f>
        <v>8</v>
      </c>
      <c r="E228" s="102" t="n">
        <f aca="false">L__B!$E$228</f>
        <v>227</v>
      </c>
      <c r="F228" s="103" t="n">
        <f aca="false">calc!$AN$228</f>
        <v>143.392137709583</v>
      </c>
      <c r="G228" s="103" t="n">
        <f aca="false">IF(ABS(F228-F227)&lt;100,F228,"")</f>
        <v>143.392137709583</v>
      </c>
      <c r="H228" s="16" t="n">
        <f aca="false">calc!$X$228</f>
        <v>1.88022973887737</v>
      </c>
      <c r="I228" s="104" t="str">
        <f aca="false">IF(ABS(H228-H227)&lt;100,H228,"")</f>
        <v/>
      </c>
      <c r="J228" s="6" t="n">
        <f aca="false">calc!$Z$228</f>
        <v>-3.58386624494141</v>
      </c>
      <c r="K228" s="16" t="n">
        <f aca="false">10*J228</f>
        <v>-35.8386624494141</v>
      </c>
      <c r="L228" s="6" t="str">
        <f aca="false">IF(ABS(H228-F228)/17.4&lt;1,(H228-F228)/17.4,"")</f>
        <v/>
      </c>
      <c r="M228" s="6" t="str">
        <f aca="false">IF(ABS(J228)/1.58&lt;1,J228/1.58/1.58,"")</f>
        <v/>
      </c>
      <c r="N228" s="6" t="str">
        <f aca="false">IF(OR(L228="",M228=""),"",ABS(L228)+ABS(M228))</f>
        <v/>
      </c>
      <c r="O228" s="3" t="str">
        <f aca="false">IF(OR(L228="",M228=""),"","SE?")</f>
        <v/>
      </c>
    </row>
    <row r="229" customFormat="false" ht="17" hidden="false" customHeight="true" outlineLevel="0" collapsed="false">
      <c r="C229" s="2" t="n">
        <f aca="false">L__B!$C$229</f>
        <v>16</v>
      </c>
      <c r="D229" s="2" t="n">
        <f aca="false">L__B!$D$229</f>
        <v>8</v>
      </c>
      <c r="E229" s="102" t="n">
        <f aca="false">L__B!$E$229</f>
        <v>228</v>
      </c>
      <c r="F229" s="103" t="n">
        <f aca="false">calc!$AN$229</f>
        <v>144.37778507344</v>
      </c>
      <c r="G229" s="103" t="n">
        <f aca="false">IF(ABS(F229-F228)&lt;100,F229,"")</f>
        <v>144.37778507344</v>
      </c>
      <c r="H229" s="16" t="n">
        <f aca="false">calc!$X$229</f>
        <v>15.53370503837</v>
      </c>
      <c r="I229" s="104" t="n">
        <f aca="false">IF(ABS(H229-H228)&lt;100,H229,"")</f>
        <v>15.53370503837</v>
      </c>
      <c r="J229" s="6" t="n">
        <f aca="false">calc!$Z$229</f>
        <v>-2.6507507045589</v>
      </c>
      <c r="K229" s="16" t="n">
        <f aca="false">10*J229</f>
        <v>-26.507507045589</v>
      </c>
      <c r="L229" s="6" t="str">
        <f aca="false">IF(ABS(H229-F229)/17.4&lt;1,(H229-F229)/17.4,"")</f>
        <v/>
      </c>
      <c r="M229" s="6" t="str">
        <f aca="false">IF(ABS(J229)/1.58&lt;1,J229/1.58/1.58,"")</f>
        <v/>
      </c>
      <c r="N229" s="6" t="str">
        <f aca="false">IF(OR(L229="",M229=""),"",ABS(L229)+ABS(M229))</f>
        <v/>
      </c>
      <c r="O229" s="3" t="str">
        <f aca="false">IF(OR(L229="",M229=""),"","SE?")</f>
        <v/>
      </c>
    </row>
    <row r="230" customFormat="false" ht="17" hidden="false" customHeight="true" outlineLevel="0" collapsed="false">
      <c r="C230" s="2" t="n">
        <f aca="false">L__B!$C$230</f>
        <v>17</v>
      </c>
      <c r="D230" s="2" t="n">
        <f aca="false">L__B!$D$230</f>
        <v>8</v>
      </c>
      <c r="E230" s="102" t="n">
        <f aca="false">L__B!$E$230</f>
        <v>229</v>
      </c>
      <c r="F230" s="103" t="n">
        <f aca="false">calc!$AN$230</f>
        <v>145.363432437302</v>
      </c>
      <c r="G230" s="103" t="n">
        <f aca="false">IF(ABS(F230-F229)&lt;100,F230,"")</f>
        <v>145.363432437302</v>
      </c>
      <c r="H230" s="16" t="n">
        <f aca="false">calc!$X$230</f>
        <v>28.7110995656791</v>
      </c>
      <c r="I230" s="104" t="n">
        <f aca="false">IF(ABS(H230-H229)&lt;100,H230,"")</f>
        <v>28.7110995656791</v>
      </c>
      <c r="J230" s="6" t="n">
        <f aca="false">calc!$Z$230</f>
        <v>-1.60336797671305</v>
      </c>
      <c r="K230" s="16" t="n">
        <f aca="false">10*J230</f>
        <v>-16.0336797671305</v>
      </c>
      <c r="L230" s="6" t="str">
        <f aca="false">IF(ABS(H230-F230)/17.4&lt;1,(H230-F230)/17.4,"")</f>
        <v/>
      </c>
      <c r="M230" s="6" t="str">
        <f aca="false">IF(ABS(J230)/1.58&lt;1,J230/1.58/1.58,"")</f>
        <v/>
      </c>
      <c r="N230" s="6" t="str">
        <f aca="false">IF(OR(L230="",M230=""),"",ABS(L230)+ABS(M230))</f>
        <v/>
      </c>
      <c r="O230" s="3" t="str">
        <f aca="false">IF(OR(L230="",M230=""),"","SE?")</f>
        <v/>
      </c>
    </row>
    <row r="231" customFormat="false" ht="17" hidden="false" customHeight="true" outlineLevel="0" collapsed="false">
      <c r="C231" s="2" t="n">
        <f aca="false">L__B!$C$231</f>
        <v>18</v>
      </c>
      <c r="D231" s="2" t="n">
        <f aca="false">L__B!$D$231</f>
        <v>8</v>
      </c>
      <c r="E231" s="102" t="n">
        <f aca="false">L__B!$E$231</f>
        <v>230</v>
      </c>
      <c r="F231" s="103" t="n">
        <f aca="false">calc!$AN$231</f>
        <v>146.349079801161</v>
      </c>
      <c r="G231" s="103" t="n">
        <f aca="false">IF(ABS(F231-F230)&lt;100,F231,"")</f>
        <v>146.349079801161</v>
      </c>
      <c r="H231" s="16" t="n">
        <f aca="false">calc!$X$231</f>
        <v>41.4530840787897</v>
      </c>
      <c r="I231" s="104" t="n">
        <f aca="false">IF(ABS(H231-H230)&lt;100,H231,"")</f>
        <v>41.4530840787897</v>
      </c>
      <c r="J231" s="6" t="n">
        <f aca="false">calc!$Z$231</f>
        <v>-0.50625699870925</v>
      </c>
      <c r="K231" s="16" t="n">
        <f aca="false">10*J231</f>
        <v>-5.0625699870925</v>
      </c>
      <c r="L231" s="6" t="str">
        <f aca="false">IF(ABS(H231-F231)/17.4&lt;1,(H231-F231)/17.4,"")</f>
        <v/>
      </c>
      <c r="M231" s="6" t="n">
        <f aca="false">IF(ABS(J231)/1.58&lt;1,J231/1.58/1.58,"")</f>
        <v>-0.202794824030304</v>
      </c>
      <c r="N231" s="6" t="str">
        <f aca="false">IF(OR(L231="",M231=""),"",ABS(L231)+ABS(M231))</f>
        <v/>
      </c>
      <c r="O231" s="3" t="str">
        <f aca="false">IF(OR(L231="",M231=""),"","SE?")</f>
        <v/>
      </c>
    </row>
    <row r="232" customFormat="false" ht="17" hidden="false" customHeight="true" outlineLevel="0" collapsed="false">
      <c r="C232" s="2" t="n">
        <f aca="false">L__B!$C$232</f>
        <v>19</v>
      </c>
      <c r="D232" s="2" t="n">
        <f aca="false">L__B!$D$232</f>
        <v>8</v>
      </c>
      <c r="E232" s="102" t="n">
        <f aca="false">L__B!$E$232</f>
        <v>231</v>
      </c>
      <c r="F232" s="103" t="n">
        <f aca="false">calc!$AN$232</f>
        <v>147.334727165022</v>
      </c>
      <c r="G232" s="103" t="n">
        <f aca="false">IF(ABS(F232-F231)&lt;100,F232,"")</f>
        <v>147.334727165022</v>
      </c>
      <c r="H232" s="16" t="n">
        <f aca="false">calc!$X$232</f>
        <v>53.8329860735459</v>
      </c>
      <c r="I232" s="104" t="n">
        <f aca="false">IF(ABS(H232-H231)&lt;100,H232,"")</f>
        <v>53.8329860735459</v>
      </c>
      <c r="J232" s="6" t="n">
        <f aca="false">calc!$Z$232</f>
        <v>0.586020206968269</v>
      </c>
      <c r="K232" s="16" t="n">
        <f aca="false">10*J232</f>
        <v>5.86020206968269</v>
      </c>
      <c r="L232" s="6" t="str">
        <f aca="false">IF(ABS(H232-F232)/17.4&lt;1,(H232-F232)/17.4,"")</f>
        <v/>
      </c>
      <c r="M232" s="6" t="n">
        <f aca="false">IF(ABS(J232)/1.58&lt;1,J232/1.58/1.58,"")</f>
        <v>0.23474611719607</v>
      </c>
      <c r="N232" s="6" t="str">
        <f aca="false">IF(OR(L232="",M232=""),"",ABS(L232)+ABS(M232))</f>
        <v/>
      </c>
      <c r="O232" s="3" t="str">
        <f aca="false">IF(OR(L232="",M232=""),"","SE?")</f>
        <v/>
      </c>
    </row>
    <row r="233" customFormat="false" ht="17" hidden="false" customHeight="true" outlineLevel="0" collapsed="false">
      <c r="C233" s="2" t="n">
        <f aca="false">L__B!$C$233</f>
        <v>20</v>
      </c>
      <c r="D233" s="2" t="n">
        <f aca="false">L__B!$D$233</f>
        <v>8</v>
      </c>
      <c r="E233" s="102" t="n">
        <f aca="false">L__B!$E$233</f>
        <v>232</v>
      </c>
      <c r="F233" s="103" t="n">
        <f aca="false">calc!$AN$233</f>
        <v>148.320374528883</v>
      </c>
      <c r="G233" s="103" t="n">
        <f aca="false">IF(ABS(F233-F232)&lt;100,F233,"")</f>
        <v>148.320374528883</v>
      </c>
      <c r="H233" s="16" t="n">
        <f aca="false">calc!$X$233</f>
        <v>65.9419039965656</v>
      </c>
      <c r="I233" s="104" t="n">
        <f aca="false">IF(ABS(H233-H232)&lt;100,H233,"")</f>
        <v>65.9419039965656</v>
      </c>
      <c r="J233" s="6" t="n">
        <f aca="false">calc!$Z$233</f>
        <v>1.62841597950048</v>
      </c>
      <c r="K233" s="16" t="n">
        <f aca="false">10*J233</f>
        <v>16.2841597950048</v>
      </c>
      <c r="L233" s="6" t="str">
        <f aca="false">IF(ABS(H233-F233)/17.4&lt;1,(H233-F233)/17.4,"")</f>
        <v/>
      </c>
      <c r="M233" s="6" t="str">
        <f aca="false">IF(ABS(J233)/1.58&lt;1,J233/1.58/1.58,"")</f>
        <v/>
      </c>
      <c r="N233" s="6" t="str">
        <f aca="false">IF(OR(L233="",M233=""),"",ABS(L233)+ABS(M233))</f>
        <v/>
      </c>
      <c r="O233" s="3" t="str">
        <f aca="false">IF(OR(L233="",M233=""),"","SE?")</f>
        <v/>
      </c>
    </row>
    <row r="234" customFormat="false" ht="17" hidden="false" customHeight="true" outlineLevel="0" collapsed="false">
      <c r="C234" s="2" t="n">
        <f aca="false">L__B!$C$234</f>
        <v>21</v>
      </c>
      <c r="D234" s="2" t="n">
        <f aca="false">L__B!$D$234</f>
        <v>8</v>
      </c>
      <c r="E234" s="102" t="n">
        <f aca="false">L__B!$E$234</f>
        <v>233</v>
      </c>
      <c r="F234" s="103" t="n">
        <f aca="false">calc!$AN$234</f>
        <v>149.306021892744</v>
      </c>
      <c r="G234" s="103" t="n">
        <f aca="false">IF(ABS(F234-F233)&lt;100,F234,"")</f>
        <v>149.306021892744</v>
      </c>
      <c r="H234" s="16" t="n">
        <f aca="false">calc!$X$234</f>
        <v>77.8747949592995</v>
      </c>
      <c r="I234" s="104" t="n">
        <f aca="false">IF(ABS(H234-H233)&lt;100,H234,"")</f>
        <v>77.8747949592995</v>
      </c>
      <c r="J234" s="6" t="n">
        <f aca="false">calc!$Z$234</f>
        <v>2.58316535434374</v>
      </c>
      <c r="K234" s="16" t="n">
        <f aca="false">10*J234</f>
        <v>25.8316535434374</v>
      </c>
      <c r="L234" s="6" t="str">
        <f aca="false">IF(ABS(H234-F234)/17.4&lt;1,(H234-F234)/17.4,"")</f>
        <v/>
      </c>
      <c r="M234" s="6" t="str">
        <f aca="false">IF(ABS(J234)/1.58&lt;1,J234/1.58/1.58,"")</f>
        <v/>
      </c>
      <c r="N234" s="6" t="str">
        <f aca="false">IF(OR(L234="",M234=""),"",ABS(L234)+ABS(M234))</f>
        <v/>
      </c>
      <c r="O234" s="3" t="str">
        <f aca="false">IF(OR(L234="",M234=""),"","SE?")</f>
        <v/>
      </c>
    </row>
    <row r="235" customFormat="false" ht="17" hidden="false" customHeight="true" outlineLevel="0" collapsed="false">
      <c r="C235" s="2" t="n">
        <f aca="false">L__B!$C$235</f>
        <v>22</v>
      </c>
      <c r="D235" s="2" t="n">
        <f aca="false">L__B!$D$235</f>
        <v>8</v>
      </c>
      <c r="E235" s="102" t="n">
        <f aca="false">L__B!$E$235</f>
        <v>234</v>
      </c>
      <c r="F235" s="103" t="n">
        <f aca="false">calc!$AN$235</f>
        <v>150.291669256607</v>
      </c>
      <c r="G235" s="103" t="n">
        <f aca="false">IF(ABS(F235-F234)&lt;100,F235,"")</f>
        <v>150.291669256607</v>
      </c>
      <c r="H235" s="16" t="n">
        <f aca="false">calc!$X$235</f>
        <v>89.7200665321186</v>
      </c>
      <c r="I235" s="104" t="n">
        <f aca="false">IF(ABS(H235-H234)&lt;100,H235,"")</f>
        <v>89.7200665321186</v>
      </c>
      <c r="J235" s="6" t="n">
        <f aca="false">calc!$Z$235</f>
        <v>3.41747407236495</v>
      </c>
      <c r="K235" s="16" t="n">
        <f aca="false">10*J235</f>
        <v>34.1747407236495</v>
      </c>
      <c r="L235" s="6" t="str">
        <f aca="false">IF(ABS(H235-F235)/17.4&lt;1,(H235-F235)/17.4,"")</f>
        <v/>
      </c>
      <c r="M235" s="6" t="str">
        <f aca="false">IF(ABS(J235)/1.58&lt;1,J235/1.58/1.58,"")</f>
        <v/>
      </c>
      <c r="N235" s="6" t="str">
        <f aca="false">IF(OR(L235="",M235=""),"",ABS(L235)+ABS(M235))</f>
        <v/>
      </c>
      <c r="O235" s="3" t="str">
        <f aca="false">IF(OR(L235="",M235=""),"","SE?")</f>
        <v/>
      </c>
    </row>
    <row r="236" customFormat="false" ht="17" hidden="false" customHeight="true" outlineLevel="0" collapsed="false">
      <c r="C236" s="2" t="n">
        <f aca="false">L__B!$C$236</f>
        <v>23</v>
      </c>
      <c r="D236" s="2" t="n">
        <f aca="false">L__B!$D$236</f>
        <v>8</v>
      </c>
      <c r="E236" s="102" t="n">
        <f aca="false">L__B!$E$236</f>
        <v>235</v>
      </c>
      <c r="F236" s="103" t="n">
        <f aca="false">calc!$AN$236</f>
        <v>151.27731662047</v>
      </c>
      <c r="G236" s="103" t="n">
        <f aca="false">IF(ABS(F236-F235)&lt;100,F236,"")</f>
        <v>151.27731662047</v>
      </c>
      <c r="H236" s="16" t="n">
        <f aca="false">calc!$X$236</f>
        <v>101.553593253324</v>
      </c>
      <c r="I236" s="104" t="n">
        <f aca="false">IF(ABS(H236-H235)&lt;100,H236,"")</f>
        <v>101.553593253324</v>
      </c>
      <c r="J236" s="6" t="n">
        <f aca="false">calc!$Z$236</f>
        <v>4.10204340428872</v>
      </c>
      <c r="K236" s="16" t="n">
        <f aca="false">10*J236</f>
        <v>41.0204340428872</v>
      </c>
      <c r="L236" s="6" t="str">
        <f aca="false">IF(ABS(H236-F236)/17.4&lt;1,(H236-F236)/17.4,"")</f>
        <v/>
      </c>
      <c r="M236" s="6" t="str">
        <f aca="false">IF(ABS(J236)/1.58&lt;1,J236/1.58/1.58,"")</f>
        <v/>
      </c>
      <c r="N236" s="6" t="str">
        <f aca="false">IF(OR(L236="",M236=""),"",ABS(L236)+ABS(M236))</f>
        <v/>
      </c>
      <c r="O236" s="3" t="str">
        <f aca="false">IF(OR(L236="",M236=""),"","SE?")</f>
        <v/>
      </c>
    </row>
    <row r="237" customFormat="false" ht="17" hidden="false" customHeight="true" outlineLevel="0" collapsed="false">
      <c r="C237" s="2" t="n">
        <f aca="false">L__B!$C$237</f>
        <v>24</v>
      </c>
      <c r="D237" s="2" t="n">
        <f aca="false">L__B!$D$237</f>
        <v>8</v>
      </c>
      <c r="E237" s="102" t="n">
        <f aca="false">L__B!$E$237</f>
        <v>236</v>
      </c>
      <c r="F237" s="103" t="n">
        <f aca="false">calc!$AN$237</f>
        <v>152.262963984333</v>
      </c>
      <c r="G237" s="103" t="n">
        <f aca="false">IF(ABS(F237-F236)&lt;100,F237,"")</f>
        <v>152.262963984333</v>
      </c>
      <c r="H237" s="16" t="n">
        <f aca="false">calc!$X$237</f>
        <v>113.436608639672</v>
      </c>
      <c r="I237" s="104" t="n">
        <f aca="false">IF(ABS(H237-H236)&lt;100,H237,"")</f>
        <v>113.436608639672</v>
      </c>
      <c r="J237" s="6" t="n">
        <f aca="false">calc!$Z$237</f>
        <v>4.61064030394165</v>
      </c>
      <c r="K237" s="16" t="n">
        <f aca="false">10*J237</f>
        <v>46.1064030394165</v>
      </c>
      <c r="L237" s="6" t="str">
        <f aca="false">IF(ABS(H237-F237)/17.4&lt;1,(H237-F237)/17.4,"")</f>
        <v/>
      </c>
      <c r="M237" s="6" t="str">
        <f aca="false">IF(ABS(J237)/1.58&lt;1,J237/1.58/1.58,"")</f>
        <v/>
      </c>
      <c r="N237" s="6" t="str">
        <f aca="false">IF(OR(L237="",M237=""),"",ABS(L237)+ABS(M237))</f>
        <v/>
      </c>
      <c r="O237" s="3" t="str">
        <f aca="false">IF(OR(L237="",M237=""),"","SE?")</f>
        <v/>
      </c>
    </row>
    <row r="238" customFormat="false" ht="17" hidden="false" customHeight="true" outlineLevel="0" collapsed="false">
      <c r="C238" s="2" t="n">
        <f aca="false">L__B!$C$238</f>
        <v>25</v>
      </c>
      <c r="D238" s="2" t="n">
        <f aca="false">L__B!$D$238</f>
        <v>8</v>
      </c>
      <c r="E238" s="102" t="n">
        <f aca="false">L__B!$E$238</f>
        <v>237</v>
      </c>
      <c r="F238" s="103" t="n">
        <f aca="false">calc!$AN$238</f>
        <v>153.248611348195</v>
      </c>
      <c r="G238" s="103" t="n">
        <f aca="false">IF(ABS(F238-F237)&lt;100,F238,"")</f>
        <v>153.248611348195</v>
      </c>
      <c r="H238" s="16" t="n">
        <f aca="false">calc!$X$238</f>
        <v>125.416093794223</v>
      </c>
      <c r="I238" s="104" t="n">
        <f aca="false">IF(ABS(H238-H237)&lt;100,H238,"")</f>
        <v>125.416093794223</v>
      </c>
      <c r="J238" s="6" t="n">
        <f aca="false">calc!$Z$238</f>
        <v>4.92054972842456</v>
      </c>
      <c r="K238" s="16" t="n">
        <f aca="false">10*J238</f>
        <v>49.2054972842455</v>
      </c>
      <c r="L238" s="6" t="str">
        <f aca="false">IF(ABS(H238-F238)/17.4&lt;1,(H238-F238)/17.4,"")</f>
        <v/>
      </c>
      <c r="M238" s="6" t="str">
        <f aca="false">IF(ABS(J238)/1.58&lt;1,J238/1.58/1.58,"")</f>
        <v/>
      </c>
      <c r="N238" s="6" t="str">
        <f aca="false">IF(OR(L238="",M238=""),"",ABS(L238)+ABS(M238))</f>
        <v/>
      </c>
      <c r="O238" s="3" t="str">
        <f aca="false">IF(OR(L238="",M238=""),"","SE?")</f>
        <v/>
      </c>
    </row>
    <row r="239" customFormat="false" ht="17" hidden="false" customHeight="true" outlineLevel="0" collapsed="false">
      <c r="C239" s="2" t="n">
        <f aca="false">L__B!$C$239</f>
        <v>26</v>
      </c>
      <c r="D239" s="2" t="n">
        <f aca="false">L__B!$D$239</f>
        <v>8</v>
      </c>
      <c r="E239" s="102" t="n">
        <f aca="false">L__B!$E$239</f>
        <v>238</v>
      </c>
      <c r="F239" s="103" t="n">
        <f aca="false">calc!$AN$239</f>
        <v>154.23425871206</v>
      </c>
      <c r="G239" s="103" t="n">
        <f aca="false">IF(ABS(F239-F238)&lt;100,F239,"")</f>
        <v>154.23425871206</v>
      </c>
      <c r="H239" s="16" t="n">
        <f aca="false">calc!$X$239</f>
        <v>137.526262188857</v>
      </c>
      <c r="I239" s="104" t="n">
        <f aca="false">IF(ABS(H239-H238)&lt;100,H239,"")</f>
        <v>137.526262188857</v>
      </c>
      <c r="J239" s="6" t="n">
        <f aca="false">calc!$Z$239</f>
        <v>5.01369403355416</v>
      </c>
      <c r="K239" s="16" t="n">
        <f aca="false">10*J239</f>
        <v>50.1369403355416</v>
      </c>
      <c r="L239" s="6" t="n">
        <f aca="false">IF(ABS(H239-F239)/17.4&lt;1,(H239-F239)/17.4,"")</f>
        <v>-0.960229685241582</v>
      </c>
      <c r="M239" s="6" t="str">
        <f aca="false">IF(ABS(J239)/1.58&lt;1,J239/1.58/1.58,"")</f>
        <v/>
      </c>
      <c r="N239" s="6" t="str">
        <f aca="false">IF(OR(L239="",M239=""),"",ABS(L239)+ABS(M239))</f>
        <v/>
      </c>
      <c r="O239" s="3" t="str">
        <f aca="false">IF(OR(L239="",M239=""),"","SE?")</f>
        <v/>
      </c>
    </row>
    <row r="240" customFormat="false" ht="17" hidden="false" customHeight="true" outlineLevel="0" collapsed="false">
      <c r="C240" s="2" t="n">
        <f aca="false">L__B!$C$240</f>
        <v>27</v>
      </c>
      <c r="D240" s="2" t="n">
        <f aca="false">L__B!$D$240</f>
        <v>8</v>
      </c>
      <c r="E240" s="102" t="n">
        <f aca="false">L__B!$E$240</f>
        <v>239</v>
      </c>
      <c r="F240" s="103" t="n">
        <f aca="false">calc!$AN$240</f>
        <v>155.219906075925</v>
      </c>
      <c r="G240" s="103" t="n">
        <f aca="false">IF(ABS(F240-F239)&lt;100,F240,"")</f>
        <v>155.219906075925</v>
      </c>
      <c r="H240" s="16" t="n">
        <f aca="false">calc!$X$240</f>
        <v>149.790328604439</v>
      </c>
      <c r="I240" s="104" t="n">
        <f aca="false">IF(ABS(H240-H239)&lt;100,H240,"")</f>
        <v>149.790328604439</v>
      </c>
      <c r="J240" s="6" t="n">
        <f aca="false">calc!$Z$240</f>
        <v>4.87827532008312</v>
      </c>
      <c r="K240" s="16" t="n">
        <f aca="false">10*J240</f>
        <v>48.7827532008312</v>
      </c>
      <c r="L240" s="6" t="n">
        <f aca="false">IF(ABS(H240-F240)/17.4&lt;1,(H240-F240)/17.4,"")</f>
        <v>-0.312044682269289</v>
      </c>
      <c r="M240" s="6" t="str">
        <f aca="false">IF(ABS(J240)/1.58&lt;1,J240/1.58/1.58,"")</f>
        <v/>
      </c>
      <c r="N240" s="6" t="str">
        <f aca="false">IF(OR(L240="",M240=""),"",ABS(L240)+ABS(M240))</f>
        <v/>
      </c>
      <c r="O240" s="3" t="str">
        <f aca="false">IF(OR(L240="",M240=""),"","SE?")</f>
        <v/>
      </c>
    </row>
    <row r="241" customFormat="false" ht="17" hidden="false" customHeight="true" outlineLevel="0" collapsed="false">
      <c r="C241" s="2" t="n">
        <f aca="false">L__B!$C$241</f>
        <v>28</v>
      </c>
      <c r="D241" s="2" t="n">
        <f aca="false">L__B!$D$241</f>
        <v>8</v>
      </c>
      <c r="E241" s="102" t="n">
        <f aca="false">L__B!$E$241</f>
        <v>240</v>
      </c>
      <c r="F241" s="103" t="n">
        <f aca="false">calc!$AN$241</f>
        <v>156.205553439788</v>
      </c>
      <c r="G241" s="103" t="n">
        <f aca="false">IF(ABS(F241-F240)&lt;100,F241,"")</f>
        <v>156.205553439788</v>
      </c>
      <c r="H241" s="16" t="n">
        <f aca="false">calc!$X$241</f>
        <v>162.222505952044</v>
      </c>
      <c r="I241" s="104" t="n">
        <f aca="false">IF(ABS(H241-H240)&lt;100,H241,"")</f>
        <v>162.222505952044</v>
      </c>
      <c r="J241" s="6" t="n">
        <f aca="false">calc!$Z$241</f>
        <v>4.51078487439744</v>
      </c>
      <c r="K241" s="16" t="n">
        <f aca="false">10*J241</f>
        <v>45.1078487439744</v>
      </c>
      <c r="L241" s="6" t="n">
        <f aca="false">IF(ABS(H241-F241)/17.4&lt;1,(H241-F241)/17.4,"")</f>
        <v>0.345801868520449</v>
      </c>
      <c r="M241" s="6" t="str">
        <f aca="false">IF(ABS(J241)/1.58&lt;1,J241/1.58/1.58,"")</f>
        <v/>
      </c>
      <c r="N241" s="6" t="str">
        <f aca="false">IF(OR(L241="",M241=""),"",ABS(L241)+ABS(M241))</f>
        <v/>
      </c>
      <c r="O241" s="3" t="str">
        <f aca="false">IF(OR(L241="",M241=""),"","SE?")</f>
        <v/>
      </c>
    </row>
    <row r="242" customFormat="false" ht="17" hidden="false" customHeight="true" outlineLevel="0" collapsed="false">
      <c r="C242" s="2" t="n">
        <f aca="false">L__B!$C$242</f>
        <v>29</v>
      </c>
      <c r="D242" s="2" t="n">
        <f aca="false">L__B!$D$242</f>
        <v>8</v>
      </c>
      <c r="E242" s="102" t="n">
        <f aca="false">L__B!$E$242</f>
        <v>241</v>
      </c>
      <c r="F242" s="103" t="n">
        <f aca="false">calc!$AN$242</f>
        <v>157.191200803654</v>
      </c>
      <c r="G242" s="103" t="n">
        <f aca="false">IF(ABS(F242-F241)&lt;100,F242,"")</f>
        <v>157.191200803654</v>
      </c>
      <c r="H242" s="16" t="n">
        <f aca="false">calc!$X$242</f>
        <v>174.830629892813</v>
      </c>
      <c r="I242" s="104" t="n">
        <f aca="false">IF(ABS(H242-H241)&lt;100,H242,"")</f>
        <v>174.830629892813</v>
      </c>
      <c r="J242" s="6" t="n">
        <f aca="false">calc!$Z$242</f>
        <v>3.91806658711446</v>
      </c>
      <c r="K242" s="16" t="n">
        <f aca="false">10*J242</f>
        <v>39.1806658711446</v>
      </c>
      <c r="L242" s="6" t="str">
        <f aca="false">IF(ABS(H242-F242)/17.4&lt;1,(H242-F242)/17.4,"")</f>
        <v/>
      </c>
      <c r="M242" s="6" t="str">
        <f aca="false">IF(ABS(J242)/1.58&lt;1,J242/1.58/1.58,"")</f>
        <v/>
      </c>
      <c r="N242" s="6" t="str">
        <f aca="false">IF(OR(L242="",M242=""),"",ABS(L242)+ABS(M242))</f>
        <v/>
      </c>
      <c r="O242" s="3" t="str">
        <f aca="false">IF(OR(L242="",M242=""),"","SE?")</f>
        <v/>
      </c>
    </row>
    <row r="243" customFormat="false" ht="17" hidden="false" customHeight="true" outlineLevel="0" collapsed="false">
      <c r="C243" s="2" t="n">
        <f aca="false">L__B!$C$243</f>
        <v>30</v>
      </c>
      <c r="D243" s="2" t="n">
        <f aca="false">L__B!$D$243</f>
        <v>8</v>
      </c>
      <c r="E243" s="102" t="n">
        <f aca="false">L__B!$E$243</f>
        <v>242</v>
      </c>
      <c r="F243" s="103" t="n">
        <f aca="false">calc!$AN$243</f>
        <v>158.176848167519</v>
      </c>
      <c r="G243" s="103" t="n">
        <f aca="false">IF(ABS(F243-F242)&lt;100,F243,"")</f>
        <v>158.176848167519</v>
      </c>
      <c r="H243" s="16" t="n">
        <f aca="false">calc!$X$243</f>
        <v>187.61969710353</v>
      </c>
      <c r="I243" s="104" t="n">
        <f aca="false">IF(ABS(H243-H242)&lt;100,H243,"")</f>
        <v>187.61969710353</v>
      </c>
      <c r="J243" s="6" t="n">
        <f aca="false">calc!$Z$243</f>
        <v>3.11894162738318</v>
      </c>
      <c r="K243" s="16" t="n">
        <f aca="false">10*J243</f>
        <v>31.1894162738318</v>
      </c>
      <c r="L243" s="6" t="str">
        <f aca="false">IF(ABS(H243-F243)/17.4&lt;1,(H243-F243)/17.4,"")</f>
        <v/>
      </c>
      <c r="M243" s="6" t="str">
        <f aca="false">IF(ABS(J243)/1.58&lt;1,J243/1.58/1.58,"")</f>
        <v/>
      </c>
      <c r="N243" s="6" t="str">
        <f aca="false">IF(OR(L243="",M243=""),"",ABS(L243)+ABS(M243))</f>
        <v/>
      </c>
      <c r="O243" s="3" t="str">
        <f aca="false">IF(OR(L243="",M243=""),"","SE?")</f>
        <v/>
      </c>
    </row>
    <row r="244" customFormat="false" ht="17" hidden="false" customHeight="true" outlineLevel="0" collapsed="false">
      <c r="C244" s="2" t="n">
        <f aca="false">L__B!$C$244</f>
        <v>31</v>
      </c>
      <c r="D244" s="2" t="n">
        <f aca="false">L__B!$D$244</f>
        <v>8</v>
      </c>
      <c r="E244" s="102" t="n">
        <f aca="false">L__B!$E$244</f>
        <v>243</v>
      </c>
      <c r="F244" s="103" t="n">
        <f aca="false">calc!$AN$244</f>
        <v>159.162495531386</v>
      </c>
      <c r="G244" s="103" t="n">
        <f aca="false">IF(ABS(F244-F243)&lt;100,F244,"")</f>
        <v>159.162495531386</v>
      </c>
      <c r="H244" s="16" t="n">
        <f aca="false">calc!$X$244</f>
        <v>200.595969009998</v>
      </c>
      <c r="I244" s="104" t="n">
        <f aca="false">IF(ABS(H244-H243)&lt;100,H244,"")</f>
        <v>200.595969009998</v>
      </c>
      <c r="J244" s="6" t="n">
        <f aca="false">calc!$Z$244</f>
        <v>2.14490397980481</v>
      </c>
      <c r="K244" s="16" t="n">
        <f aca="false">10*J244</f>
        <v>21.4490397980481</v>
      </c>
      <c r="L244" s="6" t="str">
        <f aca="false">IF(ABS(H244-F244)/17.4&lt;1,(H244-F244)/17.4,"")</f>
        <v/>
      </c>
      <c r="M244" s="6" t="str">
        <f aca="false">IF(ABS(J244)/1.58&lt;1,J244/1.58/1.58,"")</f>
        <v/>
      </c>
      <c r="N244" s="6" t="str">
        <f aca="false">IF(OR(L244="",M244=""),"",ABS(L244)+ABS(M244))</f>
        <v/>
      </c>
      <c r="O244" s="3" t="str">
        <f aca="false">IF(OR(L244="",M244=""),"","SE?")</f>
        <v/>
      </c>
    </row>
    <row r="245" customFormat="false" ht="17" hidden="false" customHeight="true" outlineLevel="0" collapsed="false">
      <c r="C245" s="2" t="n">
        <f aca="false">L__B!$C$245</f>
        <v>1</v>
      </c>
      <c r="D245" s="2" t="n">
        <f aca="false">L__B!$D$245</f>
        <v>9</v>
      </c>
      <c r="E245" s="102" t="n">
        <f aca="false">L__B!$E$245</f>
        <v>244</v>
      </c>
      <c r="F245" s="103" t="n">
        <f aca="false">calc!$AN$245</f>
        <v>160.148142895252</v>
      </c>
      <c r="G245" s="103" t="n">
        <f aca="false">IF(ABS(F245-F244)&lt;100,F245,"")</f>
        <v>160.148142895252</v>
      </c>
      <c r="H245" s="16" t="n">
        <f aca="false">calc!$X$245</f>
        <v>213.770485842731</v>
      </c>
      <c r="I245" s="104" t="n">
        <f aca="false">IF(ABS(H245-H244)&lt;100,H245,"")</f>
        <v>213.770485842731</v>
      </c>
      <c r="J245" s="6" t="n">
        <f aca="false">calc!$Z$245</f>
        <v>1.03967375568635</v>
      </c>
      <c r="K245" s="16" t="n">
        <f aca="false">10*J245</f>
        <v>10.3967375568635</v>
      </c>
      <c r="L245" s="6" t="str">
        <f aca="false">IF(ABS(H245-F245)/17.4&lt;1,(H245-F245)/17.4,"")</f>
        <v/>
      </c>
      <c r="M245" s="6" t="n">
        <f aca="false">IF(ABS(J245)/1.58&lt;1,J245/1.58/1.58,"")</f>
        <v>0.416469217948384</v>
      </c>
      <c r="N245" s="6" t="str">
        <f aca="false">IF(OR(L245="",M245=""),"",ABS(L245)+ABS(M245))</f>
        <v/>
      </c>
      <c r="O245" s="3" t="str">
        <f aca="false">IF(OR(L245="",M245=""),"","SE?")</f>
        <v/>
      </c>
    </row>
    <row r="246" customFormat="false" ht="17" hidden="false" customHeight="true" outlineLevel="0" collapsed="false">
      <c r="C246" s="2" t="n">
        <f aca="false">L__B!$C$246</f>
        <v>2</v>
      </c>
      <c r="D246" s="2" t="n">
        <f aca="false">L__B!$D$246</f>
        <v>9</v>
      </c>
      <c r="E246" s="102" t="n">
        <f aca="false">L__B!$E$246</f>
        <v>245</v>
      </c>
      <c r="F246" s="103" t="n">
        <f aca="false">calc!$AN$246</f>
        <v>161.133790259119</v>
      </c>
      <c r="G246" s="103" t="n">
        <f aca="false">IF(ABS(F246-F245)&lt;100,F246,"")</f>
        <v>161.133790259119</v>
      </c>
      <c r="H246" s="16" t="n">
        <f aca="false">calc!$X$246</f>
        <v>227.160337277664</v>
      </c>
      <c r="I246" s="104" t="n">
        <f aca="false">IF(ABS(H246-H245)&lt;100,H246,"")</f>
        <v>227.160337277664</v>
      </c>
      <c r="J246" s="6" t="n">
        <f aca="false">calc!$Z$246</f>
        <v>-0.142201281321635</v>
      </c>
      <c r="K246" s="16" t="n">
        <f aca="false">10*J246</f>
        <v>-1.42201281321635</v>
      </c>
      <c r="L246" s="6" t="str">
        <f aca="false">IF(ABS(H246-F246)/17.4&lt;1,(H246-F246)/17.4,"")</f>
        <v/>
      </c>
      <c r="M246" s="6" t="n">
        <f aca="false">IF(ABS(J246)/1.58&lt;1,J246/1.58/1.58,"")</f>
        <v>-0.0569625385842151</v>
      </c>
      <c r="N246" s="6" t="str">
        <f aca="false">IF(OR(L246="",M246=""),"",ABS(L246)+ABS(M246))</f>
        <v/>
      </c>
      <c r="O246" s="3" t="str">
        <f aca="false">IF(OR(L246="",M246=""),"","SE?")</f>
        <v/>
      </c>
    </row>
    <row r="247" customFormat="false" ht="17" hidden="false" customHeight="true" outlineLevel="0" collapsed="false">
      <c r="C247" s="2" t="n">
        <f aca="false">L__B!$C$247</f>
        <v>3</v>
      </c>
      <c r="D247" s="2" t="n">
        <f aca="false">L__B!$D$247</f>
        <v>9</v>
      </c>
      <c r="E247" s="102" t="n">
        <f aca="false">L__B!$E$247</f>
        <v>246</v>
      </c>
      <c r="F247" s="103" t="n">
        <f aca="false">calc!$AN$247</f>
        <v>162.119437622987</v>
      </c>
      <c r="G247" s="103" t="n">
        <f aca="false">IF(ABS(F247-F246)&lt;100,F247,"")</f>
        <v>162.119437622987</v>
      </c>
      <c r="H247" s="16" t="n">
        <f aca="false">calc!$X$247</f>
        <v>240.786231857038</v>
      </c>
      <c r="I247" s="104" t="n">
        <f aca="false">IF(ABS(H247-H246)&lt;100,H247,"")</f>
        <v>240.786231857038</v>
      </c>
      <c r="J247" s="6" t="n">
        <f aca="false">calc!$Z$247</f>
        <v>-1.33729868442479</v>
      </c>
      <c r="K247" s="16" t="n">
        <f aca="false">10*J247</f>
        <v>-13.3729868442479</v>
      </c>
      <c r="L247" s="6" t="str">
        <f aca="false">IF(ABS(H247-F247)/17.4&lt;1,(H247-F247)/17.4,"")</f>
        <v/>
      </c>
      <c r="M247" s="6" t="n">
        <f aca="false">IF(ABS(J247)/1.58&lt;1,J247/1.58/1.58,"")</f>
        <v>-0.535690868620732</v>
      </c>
      <c r="N247" s="6" t="str">
        <f aca="false">IF(OR(L247="",M247=""),"",ABS(L247)+ABS(M247))</f>
        <v/>
      </c>
      <c r="O247" s="3" t="str">
        <f aca="false">IF(OR(L247="",M247=""),"","SE?")</f>
        <v/>
      </c>
    </row>
    <row r="248" customFormat="false" ht="17" hidden="false" customHeight="true" outlineLevel="0" collapsed="false">
      <c r="C248" s="2" t="n">
        <f aca="false">L__B!$C$248</f>
        <v>4</v>
      </c>
      <c r="D248" s="2" t="n">
        <f aca="false">L__B!$D$248</f>
        <v>9</v>
      </c>
      <c r="E248" s="102" t="n">
        <f aca="false">L__B!$E$248</f>
        <v>247</v>
      </c>
      <c r="F248" s="103" t="n">
        <f aca="false">calc!$AN$248</f>
        <v>163.105084986853</v>
      </c>
      <c r="G248" s="103" t="n">
        <f aca="false">IF(ABS(F248-F247)&lt;100,F248,"")</f>
        <v>163.105084986853</v>
      </c>
      <c r="H248" s="16" t="n">
        <f aca="false">calc!$X$248</f>
        <v>254.665893115604</v>
      </c>
      <c r="I248" s="104" t="n">
        <f aca="false">IF(ABS(H248-H247)&lt;100,H248,"")</f>
        <v>254.665893115604</v>
      </c>
      <c r="J248" s="6" t="n">
        <f aca="false">calc!$Z$248</f>
        <v>-2.47566376172498</v>
      </c>
      <c r="K248" s="16" t="n">
        <f aca="false">10*J248</f>
        <v>-24.7566376172498</v>
      </c>
      <c r="L248" s="6" t="str">
        <f aca="false">IF(ABS(H248-F248)/17.4&lt;1,(H248-F248)/17.4,"")</f>
        <v/>
      </c>
      <c r="M248" s="6" t="str">
        <f aca="false">IF(ABS(J248)/1.58&lt;1,J248/1.58/1.58,"")</f>
        <v/>
      </c>
      <c r="N248" s="6" t="str">
        <f aca="false">IF(OR(L248="",M248=""),"",ABS(L248)+ABS(M248))</f>
        <v/>
      </c>
      <c r="O248" s="3" t="str">
        <f aca="false">IF(OR(L248="",M248=""),"","SE?")</f>
        <v/>
      </c>
    </row>
    <row r="249" customFormat="false" ht="17" hidden="false" customHeight="true" outlineLevel="0" collapsed="false">
      <c r="C249" s="2" t="n">
        <f aca="false">L__B!$C$249</f>
        <v>5</v>
      </c>
      <c r="D249" s="2" t="n">
        <f aca="false">L__B!$D$249</f>
        <v>9</v>
      </c>
      <c r="E249" s="102" t="n">
        <f aca="false">L__B!$E$249</f>
        <v>248</v>
      </c>
      <c r="F249" s="103" t="n">
        <f aca="false">calc!$AN$249</f>
        <v>164.090732350724</v>
      </c>
      <c r="G249" s="103" t="n">
        <f aca="false">IF(ABS(F249-F248)&lt;100,F249,"")</f>
        <v>164.090732350724</v>
      </c>
      <c r="H249" s="16" t="n">
        <f aca="false">calc!$X$249</f>
        <v>268.804316058001</v>
      </c>
      <c r="I249" s="104" t="n">
        <f aca="false">IF(ABS(H249-H248)&lt;100,H249,"")</f>
        <v>268.804316058001</v>
      </c>
      <c r="J249" s="6" t="n">
        <f aca="false">calc!$Z$249</f>
        <v>-3.48395419753502</v>
      </c>
      <c r="K249" s="16" t="n">
        <f aca="false">10*J249</f>
        <v>-34.8395419753502</v>
      </c>
      <c r="L249" s="6" t="str">
        <f aca="false">IF(ABS(H249-F249)/17.4&lt;1,(H249-F249)/17.4,"")</f>
        <v/>
      </c>
      <c r="M249" s="6" t="str">
        <f aca="false">IF(ABS(J249)/1.58&lt;1,J249/1.58/1.58,"")</f>
        <v/>
      </c>
      <c r="N249" s="6" t="str">
        <f aca="false">IF(OR(L249="",M249=""),"",ABS(L249)+ABS(M249))</f>
        <v/>
      </c>
      <c r="O249" s="3" t="str">
        <f aca="false">IF(OR(L249="",M249=""),"","SE?")</f>
        <v/>
      </c>
    </row>
    <row r="250" customFormat="false" ht="17" hidden="false" customHeight="true" outlineLevel="0" collapsed="false">
      <c r="C250" s="2" t="n">
        <f aca="false">L__B!$C$250</f>
        <v>6</v>
      </c>
      <c r="D250" s="2" t="n">
        <f aca="false">L__B!$D$250</f>
        <v>9</v>
      </c>
      <c r="E250" s="102" t="n">
        <f aca="false">L__B!$E$250</f>
        <v>249</v>
      </c>
      <c r="F250" s="103" t="n">
        <f aca="false">calc!$AN$250</f>
        <v>165.076379714592</v>
      </c>
      <c r="G250" s="103" t="n">
        <f aca="false">IF(ABS(F250-F249)&lt;100,F250,"")</f>
        <v>165.076379714592</v>
      </c>
      <c r="H250" s="16" t="n">
        <f aca="false">calc!$X$250</f>
        <v>283.183393035323</v>
      </c>
      <c r="I250" s="104" t="n">
        <f aca="false">IF(ABS(H250-H249)&lt;100,H250,"")</f>
        <v>283.183393035323</v>
      </c>
      <c r="J250" s="6" t="n">
        <f aca="false">calc!$Z$250</f>
        <v>-4.29025590021782</v>
      </c>
      <c r="K250" s="16" t="n">
        <f aca="false">10*J250</f>
        <v>-42.9025590021782</v>
      </c>
      <c r="L250" s="6" t="str">
        <f aca="false">IF(ABS(H250-F250)/17.4&lt;1,(H250-F250)/17.4,"")</f>
        <v/>
      </c>
      <c r="M250" s="6" t="str">
        <f aca="false">IF(ABS(J250)/1.58&lt;1,J250/1.58/1.58,"")</f>
        <v/>
      </c>
      <c r="N250" s="6" t="str">
        <f aca="false">IF(OR(L250="",M250=""),"",ABS(L250)+ABS(M250))</f>
        <v/>
      </c>
      <c r="O250" s="3" t="str">
        <f aca="false">IF(OR(L250="",M250=""),"","SE?")</f>
        <v/>
      </c>
    </row>
    <row r="251" customFormat="false" ht="17" hidden="false" customHeight="true" outlineLevel="0" collapsed="false">
      <c r="C251" s="2" t="n">
        <f aca="false">L__B!$C$251</f>
        <v>7</v>
      </c>
      <c r="D251" s="2" t="n">
        <f aca="false">L__B!$D$251</f>
        <v>9</v>
      </c>
      <c r="E251" s="102" t="n">
        <f aca="false">L__B!$E$251</f>
        <v>250</v>
      </c>
      <c r="F251" s="103" t="n">
        <f aca="false">calc!$AN$251</f>
        <v>166.06202707846</v>
      </c>
      <c r="G251" s="103" t="n">
        <f aca="false">IF(ABS(F251-F250)&lt;100,F251,"")</f>
        <v>166.06202707846</v>
      </c>
      <c r="H251" s="16" t="n">
        <f aca="false">calc!$X$251</f>
        <v>297.754245719867</v>
      </c>
      <c r="I251" s="104" t="n">
        <f aca="false">IF(ABS(H251-H250)&lt;100,H251,"")</f>
        <v>297.754245719867</v>
      </c>
      <c r="J251" s="6" t="n">
        <f aca="false">calc!$Z$251</f>
        <v>-4.83119719663548</v>
      </c>
      <c r="K251" s="16" t="n">
        <f aca="false">10*J251</f>
        <v>-48.3119719663548</v>
      </c>
      <c r="L251" s="6" t="str">
        <f aca="false">IF(ABS(H251-F251)/17.4&lt;1,(H251-F251)/17.4,"")</f>
        <v/>
      </c>
      <c r="M251" s="6" t="str">
        <f aca="false">IF(ABS(J251)/1.58&lt;1,J251/1.58/1.58,"")</f>
        <v/>
      </c>
      <c r="N251" s="6" t="str">
        <f aca="false">IF(OR(L251="",M251=""),"",ABS(L251)+ABS(M251))</f>
        <v/>
      </c>
      <c r="O251" s="3" t="str">
        <f aca="false">IF(OR(L251="",M251=""),"","SE?")</f>
        <v/>
      </c>
    </row>
    <row r="252" customFormat="false" ht="17" hidden="false" customHeight="true" outlineLevel="0" collapsed="false">
      <c r="C252" s="2" t="n">
        <f aca="false">L__B!$C$252</f>
        <v>8</v>
      </c>
      <c r="D252" s="2" t="n">
        <f aca="false">L__B!$D$252</f>
        <v>9</v>
      </c>
      <c r="E252" s="102" t="n">
        <f aca="false">L__B!$E$252</f>
        <v>251</v>
      </c>
      <c r="F252" s="103" t="n">
        <f aca="false">calc!$AN$252</f>
        <v>167.04767444233</v>
      </c>
      <c r="G252" s="103" t="n">
        <f aca="false">IF(ABS(F252-F251)&lt;100,F252,"")</f>
        <v>167.04767444233</v>
      </c>
      <c r="H252" s="16" t="n">
        <f aca="false">calc!$X$252</f>
        <v>312.435351759113</v>
      </c>
      <c r="I252" s="104" t="n">
        <f aca="false">IF(ABS(H252-H251)&lt;100,H252,"")</f>
        <v>312.435351759113</v>
      </c>
      <c r="J252" s="6" t="n">
        <f aca="false">calc!$Z$252</f>
        <v>-5.06081572792105</v>
      </c>
      <c r="K252" s="16" t="n">
        <f aca="false">10*J252</f>
        <v>-50.6081572792105</v>
      </c>
      <c r="L252" s="6" t="str">
        <f aca="false">IF(ABS(H252-F252)/17.4&lt;1,(H252-F252)/17.4,"")</f>
        <v/>
      </c>
      <c r="M252" s="6" t="str">
        <f aca="false">IF(ABS(J252)/1.58&lt;1,J252/1.58/1.58,"")</f>
        <v/>
      </c>
      <c r="N252" s="6" t="str">
        <f aca="false">IF(OR(L252="",M252=""),"",ABS(L252)+ABS(M252))</f>
        <v/>
      </c>
      <c r="O252" s="3" t="str">
        <f aca="false">IF(OR(L252="",M252=""),"","SE?")</f>
        <v/>
      </c>
    </row>
    <row r="253" customFormat="false" ht="17" hidden="false" customHeight="true" outlineLevel="0" collapsed="false">
      <c r="C253" s="2" t="n">
        <f aca="false">L__B!$C$253</f>
        <v>9</v>
      </c>
      <c r="D253" s="2" t="n">
        <f aca="false">L__B!$D$253</f>
        <v>9</v>
      </c>
      <c r="E253" s="102" t="n">
        <f aca="false">L__B!$E$253</f>
        <v>252</v>
      </c>
      <c r="F253" s="103" t="n">
        <f aca="false">calc!$AN$253</f>
        <v>168.033321806202</v>
      </c>
      <c r="G253" s="103" t="n">
        <f aca="false">IF(ABS(F253-F252)&lt;100,F253,"")</f>
        <v>168.033321806202</v>
      </c>
      <c r="H253" s="16" t="n">
        <f aca="false">calc!$X$253</f>
        <v>327.118185439084</v>
      </c>
      <c r="I253" s="104" t="n">
        <f aca="false">IF(ABS(H253-H252)&lt;100,H253,"")</f>
        <v>327.118185439084</v>
      </c>
      <c r="J253" s="6" t="n">
        <f aca="false">calc!$Z$253</f>
        <v>-4.95900790005629</v>
      </c>
      <c r="K253" s="16" t="n">
        <f aca="false">10*J253</f>
        <v>-49.5900790005629</v>
      </c>
      <c r="L253" s="6" t="str">
        <f aca="false">IF(ABS(H253-F253)/17.4&lt;1,(H253-F253)/17.4,"")</f>
        <v/>
      </c>
      <c r="M253" s="6" t="str">
        <f aca="false">IF(ABS(J253)/1.58&lt;1,J253/1.58/1.58,"")</f>
        <v/>
      </c>
      <c r="N253" s="6" t="str">
        <f aca="false">IF(OR(L253="",M253=""),"",ABS(L253)+ABS(M253))</f>
        <v/>
      </c>
      <c r="O253" s="3" t="str">
        <f aca="false">IF(OR(L253="",M253=""),"","SE?")</f>
        <v/>
      </c>
    </row>
    <row r="254" customFormat="false" ht="17" hidden="false" customHeight="true" outlineLevel="0" collapsed="false">
      <c r="C254" s="2" t="n">
        <f aca="false">L__B!$C$254</f>
        <v>10</v>
      </c>
      <c r="D254" s="2" t="n">
        <f aca="false">L__B!$D$254</f>
        <v>9</v>
      </c>
      <c r="E254" s="102" t="n">
        <f aca="false">L__B!$E$254</f>
        <v>253</v>
      </c>
      <c r="F254" s="103" t="n">
        <f aca="false">calc!$AN$254</f>
        <v>169.018969170074</v>
      </c>
      <c r="G254" s="103" t="n">
        <f aca="false">IF(ABS(F254-F253)&lt;100,F254,"")</f>
        <v>169.018969170074</v>
      </c>
      <c r="H254" s="16" t="n">
        <f aca="false">calc!$X$254</f>
        <v>341.679985409982</v>
      </c>
      <c r="I254" s="104" t="n">
        <f aca="false">IF(ABS(H254-H253)&lt;100,H254,"")</f>
        <v>341.679985409982</v>
      </c>
      <c r="J254" s="6" t="n">
        <f aca="false">calc!$Z$254</f>
        <v>-4.53641559839145</v>
      </c>
      <c r="K254" s="16" t="n">
        <f aca="false">10*J254</f>
        <v>-45.3641559839145</v>
      </c>
      <c r="L254" s="6" t="str">
        <f aca="false">IF(ABS(H254-F254)/17.4&lt;1,(H254-F254)/17.4,"")</f>
        <v/>
      </c>
      <c r="M254" s="6" t="str">
        <f aca="false">IF(ABS(J254)/1.58&lt;1,J254/1.58/1.58,"")</f>
        <v/>
      </c>
      <c r="N254" s="6" t="str">
        <f aca="false">IF(OR(L254="",M254=""),"",ABS(L254)+ABS(M254))</f>
        <v/>
      </c>
      <c r="O254" s="3" t="str">
        <f aca="false">IF(OR(L254="",M254=""),"","SE?")</f>
        <v/>
      </c>
    </row>
    <row r="255" customFormat="false" ht="17" hidden="false" customHeight="true" outlineLevel="0" collapsed="false">
      <c r="C255" s="2" t="n">
        <f aca="false">L__B!$C$255</f>
        <v>11</v>
      </c>
      <c r="D255" s="2" t="n">
        <f aca="false">L__B!$D$255</f>
        <v>9</v>
      </c>
      <c r="E255" s="102" t="n">
        <f aca="false">L__B!$E$255</f>
        <v>254</v>
      </c>
      <c r="F255" s="103" t="n">
        <f aca="false">calc!$AN$255</f>
        <v>170.004616533945</v>
      </c>
      <c r="G255" s="103" t="n">
        <f aca="false">IF(ABS(F255-F254)&lt;100,F255,"")</f>
        <v>170.004616533945</v>
      </c>
      <c r="H255" s="16" t="n">
        <f aca="false">calc!$X$255</f>
        <v>356.001108315742</v>
      </c>
      <c r="I255" s="104" t="n">
        <f aca="false">IF(ABS(H255-H254)&lt;100,H255,"")</f>
        <v>356.001108315742</v>
      </c>
      <c r="J255" s="6" t="n">
        <f aca="false">calc!$Z$255</f>
        <v>-3.83327860591486</v>
      </c>
      <c r="K255" s="16" t="n">
        <f aca="false">10*J255</f>
        <v>-38.3327860591486</v>
      </c>
      <c r="L255" s="6" t="str">
        <f aca="false">IF(ABS(H255-F255)/17.4&lt;1,(H255-F255)/17.4,"")</f>
        <v/>
      </c>
      <c r="M255" s="6" t="str">
        <f aca="false">IF(ABS(J255)/1.58&lt;1,J255/1.58/1.58,"")</f>
        <v/>
      </c>
      <c r="N255" s="6" t="str">
        <f aca="false">IF(OR(L255="",M255=""),"",ABS(L255)+ABS(M255))</f>
        <v/>
      </c>
      <c r="O255" s="3" t="str">
        <f aca="false">IF(OR(L255="",M255=""),"","SE?")</f>
        <v/>
      </c>
    </row>
    <row r="256" customFormat="false" ht="17" hidden="false" customHeight="true" outlineLevel="0" collapsed="false">
      <c r="C256" s="2" t="n">
        <f aca="false">L__B!$C$256</f>
        <v>12</v>
      </c>
      <c r="D256" s="2" t="n">
        <f aca="false">L__B!$D$256</f>
        <v>9</v>
      </c>
      <c r="E256" s="102" t="n">
        <f aca="false">L__B!$E$256</f>
        <v>255</v>
      </c>
      <c r="F256" s="103" t="n">
        <f aca="false">calc!$AN$256</f>
        <v>170.990263897816</v>
      </c>
      <c r="G256" s="103" t="n">
        <f aca="false">IF(ABS(F256-F255)&lt;100,F256,"")</f>
        <v>170.990263897816</v>
      </c>
      <c r="H256" s="16" t="n">
        <f aca="false">calc!$X$256</f>
        <v>9.98296818791587</v>
      </c>
      <c r="I256" s="104" t="str">
        <f aca="false">IF(ABS(H256-H255)&lt;100,H256,"")</f>
        <v/>
      </c>
      <c r="J256" s="6" t="n">
        <f aca="false">calc!$Z$256</f>
        <v>-2.91207298652939</v>
      </c>
      <c r="K256" s="16" t="n">
        <f aca="false">10*J256</f>
        <v>-29.1207298652939</v>
      </c>
      <c r="L256" s="6" t="str">
        <f aca="false">IF(ABS(H256-F256)/17.4&lt;1,(H256-F256)/17.4,"")</f>
        <v/>
      </c>
      <c r="M256" s="6" t="str">
        <f aca="false">IF(ABS(J256)/1.58&lt;1,J256/1.58/1.58,"")</f>
        <v/>
      </c>
      <c r="N256" s="6" t="str">
        <f aca="false">IF(OR(L256="",M256=""),"",ABS(L256)+ABS(M256))</f>
        <v/>
      </c>
      <c r="O256" s="3" t="str">
        <f aca="false">IF(OR(L256="",M256=""),"","SE?")</f>
        <v/>
      </c>
    </row>
    <row r="257" customFormat="false" ht="17" hidden="false" customHeight="true" outlineLevel="0" collapsed="false">
      <c r="C257" s="2" t="n">
        <f aca="false">L__B!$C$257</f>
        <v>13</v>
      </c>
      <c r="D257" s="2" t="n">
        <f aca="false">L__B!$D$257</f>
        <v>9</v>
      </c>
      <c r="E257" s="102" t="n">
        <f aca="false">L__B!$E$257</f>
        <v>256</v>
      </c>
      <c r="F257" s="103" t="n">
        <f aca="false">calc!$AN$257</f>
        <v>171.975911261688</v>
      </c>
      <c r="G257" s="103" t="n">
        <f aca="false">IF(ABS(F257-F256)&lt;100,F257,"")</f>
        <v>171.975911261688</v>
      </c>
      <c r="H257" s="16" t="n">
        <f aca="false">calc!$X$257</f>
        <v>23.562314802278</v>
      </c>
      <c r="I257" s="104" t="n">
        <f aca="false">IF(ABS(H257-H256)&lt;100,H257,"")</f>
        <v>23.562314802278</v>
      </c>
      <c r="J257" s="6" t="n">
        <f aca="false">calc!$Z$257</f>
        <v>-1.84638245026183</v>
      </c>
      <c r="K257" s="16" t="n">
        <f aca="false">10*J257</f>
        <v>-18.4638245026183</v>
      </c>
      <c r="L257" s="6" t="str">
        <f aca="false">IF(ABS(H257-F257)/17.4&lt;1,(H257-F257)/17.4,"")</f>
        <v/>
      </c>
      <c r="M257" s="6" t="str">
        <f aca="false">IF(ABS(J257)/1.58&lt;1,J257/1.58/1.58,"")</f>
        <v/>
      </c>
      <c r="N257" s="6" t="str">
        <f aca="false">IF(OR(L257="",M257=""),"",ABS(L257)+ABS(M257))</f>
        <v/>
      </c>
      <c r="O257" s="3" t="str">
        <f aca="false">IF(OR(L257="",M257=""),"","SE?")</f>
        <v/>
      </c>
    </row>
    <row r="258" customFormat="false" ht="17" hidden="false" customHeight="true" outlineLevel="0" collapsed="false">
      <c r="C258" s="2" t="n">
        <f aca="false">L__B!$C$258</f>
        <v>14</v>
      </c>
      <c r="D258" s="2" t="n">
        <f aca="false">L__B!$D$258</f>
        <v>9</v>
      </c>
      <c r="E258" s="102" t="n">
        <f aca="false">L__B!$E$258</f>
        <v>257</v>
      </c>
      <c r="F258" s="103" t="n">
        <f aca="false">calc!$AN$258</f>
        <v>172.961558625562</v>
      </c>
      <c r="G258" s="103" t="n">
        <f aca="false">IF(ABS(F258-F257)&lt;100,F258,"")</f>
        <v>172.961558625562</v>
      </c>
      <c r="H258" s="16" t="n">
        <f aca="false">calc!$X$258</f>
        <v>36.7186622857941</v>
      </c>
      <c r="I258" s="104" t="n">
        <f aca="false">IF(ABS(H258-H257)&lt;100,H258,"")</f>
        <v>36.7186622857941</v>
      </c>
      <c r="J258" s="6" t="n">
        <f aca="false">calc!$Z$258</f>
        <v>-0.709790538440304</v>
      </c>
      <c r="K258" s="16" t="n">
        <f aca="false">10*J258</f>
        <v>-7.09790538440304</v>
      </c>
      <c r="L258" s="6" t="str">
        <f aca="false">IF(ABS(H258-F258)/17.4&lt;1,(H258-F258)/17.4,"")</f>
        <v/>
      </c>
      <c r="M258" s="6" t="n">
        <f aca="false">IF(ABS(J258)/1.58&lt;1,J258/1.58/1.58,"")</f>
        <v>-0.284325644303919</v>
      </c>
      <c r="N258" s="6" t="str">
        <f aca="false">IF(OR(L258="",M258=""),"",ABS(L258)+ABS(M258))</f>
        <v/>
      </c>
      <c r="O258" s="3" t="str">
        <f aca="false">IF(OR(L258="",M258=""),"","SE?")</f>
        <v/>
      </c>
    </row>
    <row r="259" customFormat="false" ht="17" hidden="false" customHeight="true" outlineLevel="0" collapsed="false">
      <c r="C259" s="2" t="n">
        <f aca="false">L__B!$C$259</f>
        <v>15</v>
      </c>
      <c r="D259" s="2" t="n">
        <f aca="false">L__B!$D$259</f>
        <v>9</v>
      </c>
      <c r="E259" s="102" t="n">
        <f aca="false">L__B!$E$259</f>
        <v>258</v>
      </c>
      <c r="F259" s="103" t="n">
        <f aca="false">calc!$AN$259</f>
        <v>173.947205989434</v>
      </c>
      <c r="G259" s="103" t="n">
        <f aca="false">IF(ABS(F259-F258)&lt;100,F259,"")</f>
        <v>173.947205989434</v>
      </c>
      <c r="H259" s="16" t="n">
        <f aca="false">calc!$X$259</f>
        <v>49.4736723259138</v>
      </c>
      <c r="I259" s="104" t="n">
        <f aca="false">IF(ABS(H259-H258)&lt;100,H259,"")</f>
        <v>49.4736723259138</v>
      </c>
      <c r="J259" s="6" t="n">
        <f aca="false">calc!$Z$259</f>
        <v>0.432044213841358</v>
      </c>
      <c r="K259" s="16" t="n">
        <f aca="false">10*J259</f>
        <v>4.32044213841358</v>
      </c>
      <c r="L259" s="6" t="str">
        <f aca="false">IF(ABS(H259-F259)/17.4&lt;1,(H259-F259)/17.4,"")</f>
        <v/>
      </c>
      <c r="M259" s="6" t="n">
        <f aca="false">IF(ABS(J259)/1.58&lt;1,J259/1.58/1.58,"")</f>
        <v>0.173066901875243</v>
      </c>
      <c r="N259" s="6" t="str">
        <f aca="false">IF(OR(L259="",M259=""),"",ABS(L259)+ABS(M259))</f>
        <v/>
      </c>
      <c r="O259" s="3" t="str">
        <f aca="false">IF(OR(L259="",M259=""),"","SE?")</f>
        <v/>
      </c>
    </row>
    <row r="260" customFormat="false" ht="17" hidden="false" customHeight="true" outlineLevel="0" collapsed="false">
      <c r="C260" s="2" t="n">
        <f aca="false">L__B!$C$260</f>
        <v>16</v>
      </c>
      <c r="D260" s="2" t="n">
        <f aca="false">L__B!$D$260</f>
        <v>9</v>
      </c>
      <c r="E260" s="102" t="n">
        <f aca="false">L__B!$E$260</f>
        <v>259</v>
      </c>
      <c r="F260" s="103" t="n">
        <f aca="false">calc!$AN$260</f>
        <v>174.932853353306</v>
      </c>
      <c r="G260" s="103" t="n">
        <f aca="false">IF(ABS(F260-F259)&lt;100,F260,"")</f>
        <v>174.932853353306</v>
      </c>
      <c r="H260" s="16" t="n">
        <f aca="false">calc!$X$260</f>
        <v>61.8835316223287</v>
      </c>
      <c r="I260" s="104" t="n">
        <f aca="false">IF(ABS(H260-H259)&lt;100,H260,"")</f>
        <v>61.8835316223287</v>
      </c>
      <c r="J260" s="6" t="n">
        <f aca="false">calc!$Z$260</f>
        <v>1.52488862696102</v>
      </c>
      <c r="K260" s="16" t="n">
        <f aca="false">10*J260</f>
        <v>15.2488862696102</v>
      </c>
      <c r="L260" s="6" t="str">
        <f aca="false">IF(ABS(H260-F260)/17.4&lt;1,(H260-F260)/17.4,"")</f>
        <v/>
      </c>
      <c r="M260" s="6" t="n">
        <f aca="false">IF(ABS(J260)/1.58&lt;1,J260/1.58/1.58,"")</f>
        <v>0.610835053261103</v>
      </c>
      <c r="N260" s="6" t="str">
        <f aca="false">IF(OR(L260="",M260=""),"",ABS(L260)+ABS(M260))</f>
        <v/>
      </c>
      <c r="O260" s="3" t="str">
        <f aca="false">IF(OR(L260="",M260=""),"","SE?")</f>
        <v/>
      </c>
    </row>
    <row r="261" customFormat="false" ht="17" hidden="false" customHeight="true" outlineLevel="0" collapsed="false">
      <c r="C261" s="2" t="n">
        <f aca="false">L__B!$C$261</f>
        <v>17</v>
      </c>
      <c r="D261" s="2" t="n">
        <f aca="false">L__B!$D$261</f>
        <v>9</v>
      </c>
      <c r="E261" s="102" t="n">
        <f aca="false">L__B!$E$261</f>
        <v>260</v>
      </c>
      <c r="F261" s="103" t="n">
        <f aca="false">calc!$AN$261</f>
        <v>175.91850071718</v>
      </c>
      <c r="G261" s="103" t="n">
        <f aca="false">IF(ABS(F261-F260)&lt;100,F261,"")</f>
        <v>175.91850071718</v>
      </c>
      <c r="H261" s="16" t="n">
        <f aca="false">calc!$X$261</f>
        <v>74.0270865447442</v>
      </c>
      <c r="I261" s="104" t="n">
        <f aca="false">IF(ABS(H261-H260)&lt;100,H261,"")</f>
        <v>74.0270865447442</v>
      </c>
      <c r="J261" s="6" t="n">
        <f aca="false">calc!$Z$261</f>
        <v>2.52568977293218</v>
      </c>
      <c r="K261" s="16" t="n">
        <f aca="false">10*J261</f>
        <v>25.2568977293218</v>
      </c>
      <c r="L261" s="6" t="str">
        <f aca="false">IF(ABS(H261-F261)/17.4&lt;1,(H261-F261)/17.4,"")</f>
        <v/>
      </c>
      <c r="M261" s="6" t="str">
        <f aca="false">IF(ABS(J261)/1.58&lt;1,J261/1.58/1.58,"")</f>
        <v/>
      </c>
      <c r="N261" s="6" t="str">
        <f aca="false">IF(OR(L261="",M261=""),"",ABS(L261)+ABS(M261))</f>
        <v/>
      </c>
      <c r="O261" s="3" t="str">
        <f aca="false">IF(OR(L261="",M261=""),"","SE?")</f>
        <v/>
      </c>
    </row>
    <row r="262" customFormat="false" ht="17" hidden="false" customHeight="true" outlineLevel="0" collapsed="false">
      <c r="C262" s="2" t="n">
        <f aca="false">L__B!$C$262</f>
        <v>18</v>
      </c>
      <c r="D262" s="2" t="n">
        <f aca="false">L__B!$D$262</f>
        <v>9</v>
      </c>
      <c r="E262" s="102" t="n">
        <f aca="false">L__B!$E$262</f>
        <v>261</v>
      </c>
      <c r="F262" s="103" t="n">
        <f aca="false">calc!$AN$262</f>
        <v>176.904148081054</v>
      </c>
      <c r="G262" s="103" t="n">
        <f aca="false">IF(ABS(F262-F261)&lt;100,F262,"")</f>
        <v>176.904148081054</v>
      </c>
      <c r="H262" s="16" t="n">
        <f aca="false">calc!$X$262</f>
        <v>85.993174446435</v>
      </c>
      <c r="I262" s="104" t="n">
        <f aca="false">IF(ABS(H262-H261)&lt;100,H262,"")</f>
        <v>85.993174446435</v>
      </c>
      <c r="J262" s="6" t="n">
        <f aca="false">calc!$Z$262</f>
        <v>3.40027106254943</v>
      </c>
      <c r="K262" s="16" t="n">
        <f aca="false">10*J262</f>
        <v>34.0027106254943</v>
      </c>
      <c r="L262" s="6" t="str">
        <f aca="false">IF(ABS(H262-F262)/17.4&lt;1,(H262-F262)/17.4,"")</f>
        <v/>
      </c>
      <c r="M262" s="6" t="str">
        <f aca="false">IF(ABS(J262)/1.58&lt;1,J262/1.58/1.58,"")</f>
        <v/>
      </c>
      <c r="N262" s="6" t="str">
        <f aca="false">IF(OR(L262="",M262=""),"",ABS(L262)+ABS(M262))</f>
        <v/>
      </c>
      <c r="O262" s="3" t="str">
        <f aca="false">IF(OR(L262="",M262=""),"","SE?")</f>
        <v/>
      </c>
    </row>
    <row r="263" customFormat="false" ht="17" hidden="false" customHeight="true" outlineLevel="0" collapsed="false">
      <c r="C263" s="2" t="n">
        <f aca="false">L__B!$C$263</f>
        <v>19</v>
      </c>
      <c r="D263" s="2" t="n">
        <f aca="false">L__B!$D$263</f>
        <v>9</v>
      </c>
      <c r="E263" s="102" t="n">
        <f aca="false">L__B!$E$263</f>
        <v>262</v>
      </c>
      <c r="F263" s="103" t="n">
        <f aca="false">calc!$AN$263</f>
        <v>177.889795444929</v>
      </c>
      <c r="G263" s="103" t="n">
        <f aca="false">IF(ABS(F263-F262)&lt;100,F263,"")</f>
        <v>177.889795444929</v>
      </c>
      <c r="H263" s="16" t="n">
        <f aca="false">calc!$X$263</f>
        <v>97.8700952061703</v>
      </c>
      <c r="I263" s="104" t="n">
        <f aca="false">IF(ABS(H263-H262)&lt;100,H263,"")</f>
        <v>97.8700952061703</v>
      </c>
      <c r="J263" s="6" t="n">
        <f aca="false">calc!$Z$263</f>
        <v>4.12063477168085</v>
      </c>
      <c r="K263" s="16" t="n">
        <f aca="false">10*J263</f>
        <v>41.2063477168085</v>
      </c>
      <c r="L263" s="6" t="str">
        <f aca="false">IF(ABS(H263-F263)/17.4&lt;1,(H263-F263)/17.4,"")</f>
        <v/>
      </c>
      <c r="M263" s="6" t="str">
        <f aca="false">IF(ABS(J263)/1.58&lt;1,J263/1.58/1.58,"")</f>
        <v/>
      </c>
      <c r="N263" s="6" t="str">
        <f aca="false">IF(OR(L263="",M263=""),"",ABS(L263)+ABS(M263))</f>
        <v/>
      </c>
      <c r="O263" s="3" t="str">
        <f aca="false">IF(OR(L263="",M263=""),"","SE?")</f>
        <v/>
      </c>
    </row>
    <row r="264" customFormat="false" ht="17" hidden="false" customHeight="true" outlineLevel="0" collapsed="false">
      <c r="C264" s="2" t="n">
        <f aca="false">L__B!$C$264</f>
        <v>20</v>
      </c>
      <c r="D264" s="2" t="n">
        <f aca="false">L__B!$D$264</f>
        <v>9</v>
      </c>
      <c r="E264" s="102" t="n">
        <f aca="false">L__B!$E$264</f>
        <v>263</v>
      </c>
      <c r="F264" s="103" t="n">
        <f aca="false">calc!$AN$264</f>
        <v>178.875442808803</v>
      </c>
      <c r="G264" s="103" t="n">
        <f aca="false">IF(ABS(F264-F263)&lt;100,F264,"")</f>
        <v>178.875442808803</v>
      </c>
      <c r="H264" s="16" t="n">
        <f aca="false">calc!$X$264</f>
        <v>109.738808655703</v>
      </c>
      <c r="I264" s="104" t="n">
        <f aca="false">IF(ABS(H264-H263)&lt;100,H264,"")</f>
        <v>109.738808655703</v>
      </c>
      <c r="J264" s="6" t="n">
        <f aca="false">calc!$Z$264</f>
        <v>4.6629230651851</v>
      </c>
      <c r="K264" s="16" t="n">
        <f aca="false">10*J264</f>
        <v>46.629230651851</v>
      </c>
      <c r="L264" s="6" t="str">
        <f aca="false">IF(ABS(H264-F264)/17.4&lt;1,(H264-F264)/17.4,"")</f>
        <v/>
      </c>
      <c r="M264" s="6" t="str">
        <f aca="false">IF(ABS(J264)/1.58&lt;1,J264/1.58/1.58,"")</f>
        <v/>
      </c>
      <c r="N264" s="6" t="str">
        <f aca="false">IF(OR(L264="",M264=""),"",ABS(L264)+ABS(M264))</f>
        <v/>
      </c>
      <c r="O264" s="3" t="str">
        <f aca="false">IF(OR(L264="",M264=""),"","SE?")</f>
        <v/>
      </c>
    </row>
    <row r="265" customFormat="false" ht="17" hidden="false" customHeight="true" outlineLevel="0" collapsed="false">
      <c r="C265" s="2" t="n">
        <f aca="false">L__B!$C$265</f>
        <v>21</v>
      </c>
      <c r="D265" s="2" t="n">
        <f aca="false">L__B!$D$265</f>
        <v>9</v>
      </c>
      <c r="E265" s="102" t="n">
        <f aca="false">L__B!$E$265</f>
        <v>264</v>
      </c>
      <c r="F265" s="103" t="n">
        <f aca="false">calc!$AN$265</f>
        <v>179.861090172681</v>
      </c>
      <c r="G265" s="103" t="n">
        <f aca="false">IF(ABS(F265-F264)&lt;100,F265,"")</f>
        <v>179.861090172681</v>
      </c>
      <c r="H265" s="16" t="n">
        <f aca="false">calc!$X$265</f>
        <v>121.669826217121</v>
      </c>
      <c r="I265" s="104" t="n">
        <f aca="false">IF(ABS(H265-H264)&lt;100,H265,"")</f>
        <v>121.669826217121</v>
      </c>
      <c r="J265" s="6" t="n">
        <f aca="false">calc!$Z$265</f>
        <v>5.00642289986796</v>
      </c>
      <c r="K265" s="16" t="n">
        <f aca="false">10*J265</f>
        <v>50.0642289986796</v>
      </c>
      <c r="L265" s="6" t="str">
        <f aca="false">IF(ABS(H265-F265)/17.4&lt;1,(H265-F265)/17.4,"")</f>
        <v/>
      </c>
      <c r="M265" s="6" t="str">
        <f aca="false">IF(ABS(J265)/1.58&lt;1,J265/1.58/1.58,"")</f>
        <v/>
      </c>
      <c r="N265" s="6" t="str">
        <f aca="false">IF(OR(L265="",M265=""),"",ABS(L265)+ABS(M265))</f>
        <v/>
      </c>
      <c r="O265" s="3" t="str">
        <f aca="false">IF(OR(L265="",M265=""),"","SE?")</f>
        <v/>
      </c>
    </row>
    <row r="266" customFormat="false" ht="17" hidden="false" customHeight="true" outlineLevel="0" collapsed="false">
      <c r="C266" s="2" t="n">
        <f aca="false">L__B!$C$266</f>
        <v>22</v>
      </c>
      <c r="D266" s="2" t="n">
        <f aca="false">L__B!$D$266</f>
        <v>9</v>
      </c>
      <c r="E266" s="102" t="n">
        <f aca="false">L__B!$E$266</f>
        <v>265</v>
      </c>
      <c r="F266" s="103" t="n">
        <f aca="false">calc!$AN$266</f>
        <v>180.846737536558</v>
      </c>
      <c r="G266" s="103" t="n">
        <f aca="false">IF(ABS(F266-F265)&lt;100,F266,"")</f>
        <v>180.846737536558</v>
      </c>
      <c r="H266" s="16" t="n">
        <f aca="false">calc!$X$266</f>
        <v>133.722531177575</v>
      </c>
      <c r="I266" s="104" t="n">
        <f aca="false">IF(ABS(H266-H265)&lt;100,H266,"")</f>
        <v>133.722531177575</v>
      </c>
      <c r="J266" s="6" t="n">
        <f aca="false">calc!$Z$266</f>
        <v>5.13361240932328</v>
      </c>
      <c r="K266" s="16" t="n">
        <f aca="false">10*J266</f>
        <v>51.3361240932328</v>
      </c>
      <c r="L266" s="6" t="str">
        <f aca="false">IF(ABS(H266-F266)/17.4&lt;1,(H266-F266)/17.4,"")</f>
        <v/>
      </c>
      <c r="M266" s="6" t="str">
        <f aca="false">IF(ABS(J266)/1.58&lt;1,J266/1.58/1.58,"")</f>
        <v/>
      </c>
      <c r="N266" s="6" t="str">
        <f aca="false">IF(OR(L266="",M266=""),"",ABS(L266)+ABS(M266))</f>
        <v/>
      </c>
      <c r="O266" s="3" t="str">
        <f aca="false">IF(OR(L266="",M266=""),"","SE?")</f>
        <v/>
      </c>
    </row>
    <row r="267" customFormat="false" ht="17" hidden="false" customHeight="true" outlineLevel="0" collapsed="false">
      <c r="C267" s="2" t="n">
        <f aca="false">L__B!$C$267</f>
        <v>23</v>
      </c>
      <c r="D267" s="2" t="n">
        <f aca="false">L__B!$D$267</f>
        <v>9</v>
      </c>
      <c r="E267" s="102" t="n">
        <f aca="false">L__B!$E$267</f>
        <v>266</v>
      </c>
      <c r="F267" s="103" t="n">
        <f aca="false">calc!$AN$267</f>
        <v>181.832384900434</v>
      </c>
      <c r="G267" s="103" t="n">
        <f aca="false">IF(ABS(F267-F266)&lt;100,F267,"")</f>
        <v>181.832384900434</v>
      </c>
      <c r="H267" s="16" t="n">
        <f aca="false">calc!$X$267</f>
        <v>145.945238076671</v>
      </c>
      <c r="I267" s="104" t="n">
        <f aca="false">IF(ABS(H267-H266)&lt;100,H267,"")</f>
        <v>145.945238076671</v>
      </c>
      <c r="J267" s="6" t="n">
        <f aca="false">calc!$Z$267</f>
        <v>5.03117416142519</v>
      </c>
      <c r="K267" s="16" t="n">
        <f aca="false">10*J267</f>
        <v>50.3117416142519</v>
      </c>
      <c r="L267" s="6" t="str">
        <f aca="false">IF(ABS(H267-F267)/17.4&lt;1,(H267-F267)/17.4,"")</f>
        <v/>
      </c>
      <c r="M267" s="6" t="str">
        <f aca="false">IF(ABS(J267)/1.58&lt;1,J267/1.58/1.58,"")</f>
        <v/>
      </c>
      <c r="N267" s="6" t="str">
        <f aca="false">IF(OR(L267="",M267=""),"",ABS(L267)+ABS(M267))</f>
        <v/>
      </c>
      <c r="O267" s="3" t="str">
        <f aca="false">IF(OR(L267="",M267=""),"","SE?")</f>
        <v/>
      </c>
    </row>
    <row r="268" customFormat="false" ht="17" hidden="false" customHeight="true" outlineLevel="0" collapsed="false">
      <c r="C268" s="2" t="n">
        <f aca="false">L__B!$C$268</f>
        <v>24</v>
      </c>
      <c r="D268" s="2" t="n">
        <f aca="false">L__B!$D$268</f>
        <v>9</v>
      </c>
      <c r="E268" s="102" t="n">
        <f aca="false">L__B!$E$268</f>
        <v>267</v>
      </c>
      <c r="F268" s="103" t="n">
        <f aca="false">calc!$AN$268</f>
        <v>182.818032264311</v>
      </c>
      <c r="G268" s="103" t="n">
        <f aca="false">IF(ABS(F268-F267)&lt;100,F268,"")</f>
        <v>182.818032264311</v>
      </c>
      <c r="H268" s="16" t="n">
        <f aca="false">calc!$X$268</f>
        <v>158.374740299578</v>
      </c>
      <c r="I268" s="104" t="n">
        <f aca="false">IF(ABS(H268-H267)&lt;100,H268,"")</f>
        <v>158.374740299578</v>
      </c>
      <c r="J268" s="6" t="n">
        <f aca="false">calc!$Z$268</f>
        <v>4.69195426355249</v>
      </c>
      <c r="K268" s="16" t="n">
        <f aca="false">10*J268</f>
        <v>46.9195426355249</v>
      </c>
      <c r="L268" s="6" t="str">
        <f aca="false">IF(ABS(H268-F268)/17.4&lt;1,(H268-F268)/17.4,"")</f>
        <v/>
      </c>
      <c r="M268" s="6" t="str">
        <f aca="false">IF(ABS(J268)/1.58&lt;1,J268/1.58/1.58,"")</f>
        <v/>
      </c>
      <c r="N268" s="6" t="str">
        <f aca="false">IF(OR(L268="",M268=""),"",ABS(L268)+ABS(M268))</f>
        <v/>
      </c>
      <c r="O268" s="3" t="str">
        <f aca="false">IF(OR(L268="",M268=""),"","SE?")</f>
        <v/>
      </c>
    </row>
    <row r="269" customFormat="false" ht="17" hidden="false" customHeight="true" outlineLevel="0" collapsed="false">
      <c r="C269" s="2" t="n">
        <f aca="false">L__B!$C$269</f>
        <v>25</v>
      </c>
      <c r="D269" s="2" t="n">
        <f aca="false">L__B!$D$269</f>
        <v>9</v>
      </c>
      <c r="E269" s="102" t="n">
        <f aca="false">L__B!$E$269</f>
        <v>268</v>
      </c>
      <c r="F269" s="103" t="n">
        <f aca="false">calc!$AN$269</f>
        <v>183.803679628189</v>
      </c>
      <c r="G269" s="103" t="n">
        <f aca="false">IF(ABS(F269-F268)&lt;100,F269,"")</f>
        <v>183.803679628189</v>
      </c>
      <c r="H269" s="16" t="n">
        <f aca="false">calc!$X$269</f>
        <v>171.035077507749</v>
      </c>
      <c r="I269" s="104" t="n">
        <f aca="false">IF(ABS(H269-H268)&lt;100,H269,"")</f>
        <v>171.035077507749</v>
      </c>
      <c r="J269" s="6" t="n">
        <f aca="false">calc!$Z$269</f>
        <v>4.11777296505744</v>
      </c>
      <c r="K269" s="16" t="n">
        <f aca="false">10*J269</f>
        <v>41.1777296505744</v>
      </c>
      <c r="L269" s="6" t="n">
        <f aca="false">IF(ABS(H269-F269)/17.4&lt;1,(H269-F269)/17.4,"")</f>
        <v>-0.733827708071261</v>
      </c>
      <c r="M269" s="6" t="str">
        <f aca="false">IF(ABS(J269)/1.58&lt;1,J269/1.58/1.58,"")</f>
        <v/>
      </c>
      <c r="N269" s="6" t="str">
        <f aca="false">IF(OR(L269="",M269=""),"",ABS(L269)+ABS(M269))</f>
        <v/>
      </c>
      <c r="O269" s="3" t="str">
        <f aca="false">IF(OR(L269="",M269=""),"","SE?")</f>
        <v/>
      </c>
    </row>
    <row r="270" customFormat="false" ht="17" hidden="false" customHeight="true" outlineLevel="0" collapsed="false">
      <c r="C270" s="2" t="n">
        <f aca="false">L__B!$C$270</f>
        <v>26</v>
      </c>
      <c r="D270" s="2" t="n">
        <f aca="false">L__B!$D$270</f>
        <v>9</v>
      </c>
      <c r="E270" s="102" t="n">
        <f aca="false">L__B!$E$270</f>
        <v>269</v>
      </c>
      <c r="F270" s="103" t="n">
        <f aca="false">calc!$AN$270</f>
        <v>184.789326992064</v>
      </c>
      <c r="G270" s="103" t="n">
        <f aca="false">IF(ABS(F270-F269)&lt;100,F270,"")</f>
        <v>184.789326992064</v>
      </c>
      <c r="H270" s="16" t="n">
        <f aca="false">calc!$X$270</f>
        <v>183.936247926115</v>
      </c>
      <c r="I270" s="104" t="n">
        <f aca="false">IF(ABS(H270-H269)&lt;100,H270,"")</f>
        <v>183.936247926115</v>
      </c>
      <c r="J270" s="6" t="n">
        <f aca="false">calc!$Z$270</f>
        <v>3.32266460333891</v>
      </c>
      <c r="K270" s="16" t="n">
        <f aca="false">10*J270</f>
        <v>33.2266460333891</v>
      </c>
      <c r="L270" s="6" t="n">
        <f aca="false">IF(ABS(H270-F270)/17.4&lt;1,(H270-F270)/17.4,"")</f>
        <v>-0.0490275325258244</v>
      </c>
      <c r="M270" s="6" t="str">
        <f aca="false">IF(ABS(J270)/1.58&lt;1,J270/1.58/1.58,"")</f>
        <v/>
      </c>
      <c r="N270" s="6" t="str">
        <f aca="false">IF(OR(L270="",M270=""),"",ABS(L270)+ABS(M270))</f>
        <v/>
      </c>
      <c r="O270" s="3" t="str">
        <f aca="false">IF(OR(L270="",M270=""),"","SE?")</f>
        <v/>
      </c>
    </row>
    <row r="271" customFormat="false" ht="17" hidden="false" customHeight="true" outlineLevel="0" collapsed="false">
      <c r="C271" s="2" t="n">
        <f aca="false">L__B!$C$271</f>
        <v>27</v>
      </c>
      <c r="D271" s="2" t="n">
        <f aca="false">L__B!$D$271</f>
        <v>9</v>
      </c>
      <c r="E271" s="102" t="n">
        <f aca="false">L__B!$E$271</f>
        <v>270</v>
      </c>
      <c r="F271" s="103" t="n">
        <f aca="false">calc!$AN$271</f>
        <v>185.774974355943</v>
      </c>
      <c r="G271" s="103" t="n">
        <f aca="false">IF(ABS(F271-F270)&lt;100,F271,"")</f>
        <v>185.774974355943</v>
      </c>
      <c r="H271" s="16" t="n">
        <f aca="false">calc!$X$271</f>
        <v>197.07408896671</v>
      </c>
      <c r="I271" s="104" t="n">
        <f aca="false">IF(ABS(H271-H270)&lt;100,H271,"")</f>
        <v>197.07408896671</v>
      </c>
      <c r="J271" s="6" t="n">
        <f aca="false">calc!$Z$271</f>
        <v>2.33566104846765</v>
      </c>
      <c r="K271" s="16" t="n">
        <f aca="false">10*J271</f>
        <v>23.3566104846765</v>
      </c>
      <c r="L271" s="6" t="n">
        <f aca="false">IF(ABS(H271-F271)/17.4&lt;1,(H271-F271)/17.4,"")</f>
        <v>0.649374402917609</v>
      </c>
      <c r="M271" s="6" t="str">
        <f aca="false">IF(ABS(J271)/1.58&lt;1,J271/1.58/1.58,"")</f>
        <v/>
      </c>
      <c r="N271" s="6" t="str">
        <f aca="false">IF(OR(L271="",M271=""),"",ABS(L271)+ABS(M271))</f>
        <v/>
      </c>
      <c r="O271" s="3" t="str">
        <f aca="false">IF(OR(L271="",M271=""),"","SE?")</f>
        <v/>
      </c>
    </row>
    <row r="272" customFormat="false" ht="17" hidden="false" customHeight="true" outlineLevel="0" collapsed="false">
      <c r="C272" s="2" t="n">
        <f aca="false">L__B!$C$272</f>
        <v>28</v>
      </c>
      <c r="D272" s="2" t="n">
        <f aca="false">L__B!$D$272</f>
        <v>9</v>
      </c>
      <c r="E272" s="102" t="n">
        <f aca="false">L__B!$E$272</f>
        <v>271</v>
      </c>
      <c r="F272" s="103" t="n">
        <f aca="false">calc!$AN$272</f>
        <v>186.760621719823</v>
      </c>
      <c r="G272" s="103" t="n">
        <f aca="false">IF(ABS(F272-F271)&lt;100,F272,"")</f>
        <v>186.760621719823</v>
      </c>
      <c r="H272" s="16" t="n">
        <f aca="false">calc!$X$272</f>
        <v>210.43229788039</v>
      </c>
      <c r="I272" s="104" t="n">
        <f aca="false">IF(ABS(H272-H271)&lt;100,H272,"")</f>
        <v>210.43229788039</v>
      </c>
      <c r="J272" s="6" t="n">
        <f aca="false">calc!$Z$272</f>
        <v>1.20196270353243</v>
      </c>
      <c r="K272" s="16" t="n">
        <f aca="false">10*J272</f>
        <v>12.0196270353243</v>
      </c>
      <c r="L272" s="6" t="str">
        <f aca="false">IF(ABS(H272-F272)/17.4&lt;1,(H272-F272)/17.4,"")</f>
        <v/>
      </c>
      <c r="M272" s="6" t="n">
        <f aca="false">IF(ABS(J272)/1.58&lt;1,J272/1.58/1.58,"")</f>
        <v>0.481478410323839</v>
      </c>
      <c r="N272" s="6" t="str">
        <f aca="false">IF(OR(L272="",M272=""),"",ABS(L272)+ABS(M272))</f>
        <v/>
      </c>
      <c r="O272" s="3" t="str">
        <f aca="false">IF(OR(L272="",M272=""),"","SE?")</f>
        <v/>
      </c>
    </row>
    <row r="273" customFormat="false" ht="17" hidden="false" customHeight="true" outlineLevel="0" collapsed="false">
      <c r="C273" s="2" t="n">
        <f aca="false">L__B!$C$273</f>
        <v>29</v>
      </c>
      <c r="D273" s="2" t="n">
        <f aca="false">L__B!$D$273</f>
        <v>9</v>
      </c>
      <c r="E273" s="102" t="n">
        <f aca="false">L__B!$E$273</f>
        <v>272</v>
      </c>
      <c r="F273" s="103" t="n">
        <f aca="false">calc!$AN$273</f>
        <v>187.746269083702</v>
      </c>
      <c r="G273" s="103" t="n">
        <f aca="false">IF(ABS(F273-F272)&lt;100,F273,"")</f>
        <v>187.746269083702</v>
      </c>
      <c r="H273" s="16" t="n">
        <f aca="false">calc!$X$273</f>
        <v>223.986667552244</v>
      </c>
      <c r="I273" s="104" t="n">
        <f aca="false">IF(ABS(H273-H272)&lt;100,H273,"")</f>
        <v>223.986667552244</v>
      </c>
      <c r="J273" s="6" t="n">
        <f aca="false">calc!$Z$273</f>
        <v>-0.0184124435126651</v>
      </c>
      <c r="K273" s="16" t="n">
        <f aca="false">10*J273</f>
        <v>-0.184124435126651</v>
      </c>
      <c r="L273" s="6" t="str">
        <f aca="false">IF(ABS(H273-F273)/17.4&lt;1,(H273-F273)/17.4,"")</f>
        <v/>
      </c>
      <c r="M273" s="6" t="n">
        <f aca="false">IF(ABS(J273)/1.58&lt;1,J273/1.58/1.58,"")</f>
        <v>-0.0073755982665699</v>
      </c>
      <c r="N273" s="6" t="str">
        <f aca="false">IF(OR(L273="",M273=""),"",ABS(L273)+ABS(M273))</f>
        <v/>
      </c>
      <c r="O273" s="3" t="str">
        <f aca="false">IF(OR(L273="",M273=""),"","SE?")</f>
        <v/>
      </c>
    </row>
    <row r="274" customFormat="false" ht="17" hidden="false" customHeight="true" outlineLevel="0" collapsed="false">
      <c r="C274" s="2" t="n">
        <f aca="false">L__B!$C$274</f>
        <v>30</v>
      </c>
      <c r="D274" s="2" t="n">
        <f aca="false">L__B!$D$274</f>
        <v>9</v>
      </c>
      <c r="E274" s="102" t="n">
        <f aca="false">L__B!$E$274</f>
        <v>273</v>
      </c>
      <c r="F274" s="103" t="n">
        <f aca="false">calc!$AN$274</f>
        <v>188.731916447581</v>
      </c>
      <c r="G274" s="103" t="n">
        <f aca="false">IF(ABS(F274-F273)&lt;100,F274,"")</f>
        <v>188.731916447581</v>
      </c>
      <c r="H274" s="16" t="n">
        <f aca="false">calc!$X$274</f>
        <v>237.710489223679</v>
      </c>
      <c r="I274" s="104" t="n">
        <f aca="false">IF(ABS(H274-H273)&lt;100,H274,"")</f>
        <v>237.710489223679</v>
      </c>
      <c r="J274" s="6" t="n">
        <f aca="false">calc!$Z$274</f>
        <v>-1.2546215738372</v>
      </c>
      <c r="K274" s="16" t="n">
        <f aca="false">10*J274</f>
        <v>-12.546215738372</v>
      </c>
      <c r="L274" s="6" t="str">
        <f aca="false">IF(ABS(H274-F274)/17.4&lt;1,(H274-F274)/17.4,"")</f>
        <v/>
      </c>
      <c r="M274" s="6" t="n">
        <f aca="false">IF(ABS(J274)/1.58&lt;1,J274/1.58/1.58,"")</f>
        <v>-0.502572333695402</v>
      </c>
      <c r="N274" s="6" t="str">
        <f aca="false">IF(OR(L274="",M274=""),"",ABS(L274)+ABS(M274))</f>
        <v/>
      </c>
      <c r="O274" s="3" t="str">
        <f aca="false">IF(OR(L274="",M274=""),"","SE?")</f>
        <v/>
      </c>
    </row>
    <row r="275" customFormat="false" ht="17" hidden="false" customHeight="true" outlineLevel="0" collapsed="false">
      <c r="C275" s="2" t="n">
        <f aca="false">L__B!$C$275</f>
        <v>1</v>
      </c>
      <c r="D275" s="2" t="n">
        <f aca="false">L__B!$D$275</f>
        <v>10</v>
      </c>
      <c r="E275" s="102" t="n">
        <f aca="false">L__B!$E$275</f>
        <v>274</v>
      </c>
      <c r="F275" s="103" t="n">
        <f aca="false">calc!$AN$275</f>
        <v>189.717563811462</v>
      </c>
      <c r="G275" s="103" t="n">
        <f aca="false">IF(ABS(F275-F274)&lt;100,F275,"")</f>
        <v>189.717563811462</v>
      </c>
      <c r="H275" s="16" t="n">
        <f aca="false">calc!$X$275</f>
        <v>251.579269013405</v>
      </c>
      <c r="I275" s="104" t="n">
        <f aca="false">IF(ABS(H275-H274)&lt;100,H275,"")</f>
        <v>251.579269013405</v>
      </c>
      <c r="J275" s="6" t="n">
        <f aca="false">calc!$Z$275</f>
        <v>-2.4308106415102</v>
      </c>
      <c r="K275" s="16" t="n">
        <f aca="false">10*J275</f>
        <v>-24.308106415102</v>
      </c>
      <c r="L275" s="6" t="str">
        <f aca="false">IF(ABS(H275-F275)/17.4&lt;1,(H275-F275)/17.4,"")</f>
        <v/>
      </c>
      <c r="M275" s="6" t="str">
        <f aca="false">IF(ABS(J275)/1.58&lt;1,J275/1.58/1.58,"")</f>
        <v/>
      </c>
      <c r="N275" s="6" t="str">
        <f aca="false">IF(OR(L275="",M275=""),"",ABS(L275)+ABS(M275))</f>
        <v/>
      </c>
      <c r="O275" s="3" t="str">
        <f aca="false">IF(OR(L275="",M275=""),"","SE?")</f>
        <v/>
      </c>
    </row>
    <row r="276" customFormat="false" ht="17" hidden="false" customHeight="true" outlineLevel="0" collapsed="false">
      <c r="C276" s="2" t="n">
        <f aca="false">L__B!$C$276</f>
        <v>2</v>
      </c>
      <c r="D276" s="2" t="n">
        <f aca="false">L__B!$D$276</f>
        <v>10</v>
      </c>
      <c r="E276" s="102" t="n">
        <f aca="false">L__B!$E$276</f>
        <v>275</v>
      </c>
      <c r="F276" s="103" t="n">
        <f aca="false">calc!$AN$276</f>
        <v>190.703211175343</v>
      </c>
      <c r="G276" s="103" t="n">
        <f aca="false">IF(ABS(F276-F275)&lt;100,F276,"")</f>
        <v>190.703211175343</v>
      </c>
      <c r="H276" s="16" t="n">
        <f aca="false">calc!$X$276</f>
        <v>265.572847804449</v>
      </c>
      <c r="I276" s="104" t="n">
        <f aca="false">IF(ABS(H276-H275)&lt;100,H276,"")</f>
        <v>265.572847804449</v>
      </c>
      <c r="J276" s="6" t="n">
        <f aca="false">calc!$Z$276</f>
        <v>-3.47241943770793</v>
      </c>
      <c r="K276" s="16" t="n">
        <f aca="false">10*J276</f>
        <v>-34.7241943770793</v>
      </c>
      <c r="L276" s="6" t="str">
        <f aca="false">IF(ABS(H276-F276)/17.4&lt;1,(H276-F276)/17.4,"")</f>
        <v/>
      </c>
      <c r="M276" s="6" t="str">
        <f aca="false">IF(ABS(J276)/1.58&lt;1,J276/1.58/1.58,"")</f>
        <v/>
      </c>
      <c r="N276" s="6" t="str">
        <f aca="false">IF(OR(L276="",M276=""),"",ABS(L276)+ABS(M276))</f>
        <v/>
      </c>
      <c r="O276" s="3" t="str">
        <f aca="false">IF(OR(L276="",M276=""),"","SE?")</f>
        <v/>
      </c>
    </row>
    <row r="277" customFormat="false" ht="17" hidden="false" customHeight="true" outlineLevel="0" collapsed="false">
      <c r="C277" s="2" t="n">
        <f aca="false">L__B!$C$277</f>
        <v>3</v>
      </c>
      <c r="D277" s="2" t="n">
        <f aca="false">L__B!$D$277</f>
        <v>10</v>
      </c>
      <c r="E277" s="102" t="n">
        <f aca="false">L__B!$E$277</f>
        <v>276</v>
      </c>
      <c r="F277" s="103" t="n">
        <f aca="false">calc!$AN$277</f>
        <v>191.688858539224</v>
      </c>
      <c r="G277" s="103" t="n">
        <f aca="false">IF(ABS(F277-F276)&lt;100,F277,"")</f>
        <v>191.688858539224</v>
      </c>
      <c r="H277" s="16" t="n">
        <f aca="false">calc!$X$277</f>
        <v>279.6738206402</v>
      </c>
      <c r="I277" s="104" t="n">
        <f aca="false">IF(ABS(H277-H276)&lt;100,H277,"")</f>
        <v>279.6738206402</v>
      </c>
      <c r="J277" s="6" t="n">
        <f aca="false">calc!$Z$277</f>
        <v>-4.31189163161484</v>
      </c>
      <c r="K277" s="16" t="n">
        <f aca="false">10*J277</f>
        <v>-43.1189163161484</v>
      </c>
      <c r="L277" s="6" t="str">
        <f aca="false">IF(ABS(H277-F277)/17.4&lt;1,(H277-F277)/17.4,"")</f>
        <v/>
      </c>
      <c r="M277" s="6" t="str">
        <f aca="false">IF(ABS(J277)/1.58&lt;1,J277/1.58/1.58,"")</f>
        <v/>
      </c>
      <c r="N277" s="6" t="str">
        <f aca="false">IF(OR(L277="",M277=""),"",ABS(L277)+ABS(M277))</f>
        <v/>
      </c>
      <c r="O277" s="3" t="str">
        <f aca="false">IF(OR(L277="",M277=""),"","SE?")</f>
        <v/>
      </c>
    </row>
    <row r="278" customFormat="false" ht="17" hidden="false" customHeight="true" outlineLevel="0" collapsed="false">
      <c r="C278" s="2" t="n">
        <f aca="false">L__B!$C$278</f>
        <v>4</v>
      </c>
      <c r="D278" s="2" t="n">
        <f aca="false">L__B!$D$278</f>
        <v>10</v>
      </c>
      <c r="E278" s="102" t="n">
        <f aca="false">L__B!$E$278</f>
        <v>277</v>
      </c>
      <c r="F278" s="103" t="n">
        <f aca="false">calc!$AN$278</f>
        <v>192.674505903105</v>
      </c>
      <c r="G278" s="103" t="n">
        <f aca="false">IF(ABS(F278-F277)&lt;100,F278,"")</f>
        <v>192.674505903105</v>
      </c>
      <c r="H278" s="16" t="n">
        <f aca="false">calc!$X$278</f>
        <v>293.862559932684</v>
      </c>
      <c r="I278" s="104" t="n">
        <f aca="false">IF(ABS(H278-H277)&lt;100,H278,"")</f>
        <v>293.862559932684</v>
      </c>
      <c r="J278" s="6" t="n">
        <f aca="false">calc!$Z$278</f>
        <v>-4.89345979091708</v>
      </c>
      <c r="K278" s="16" t="n">
        <f aca="false">10*J278</f>
        <v>-48.9345979091708</v>
      </c>
      <c r="L278" s="6" t="str">
        <f aca="false">IF(ABS(H278-F278)/17.4&lt;1,(H278-F278)/17.4,"")</f>
        <v/>
      </c>
      <c r="M278" s="6" t="str">
        <f aca="false">IF(ABS(J278)/1.58&lt;1,J278/1.58/1.58,"")</f>
        <v/>
      </c>
      <c r="N278" s="6" t="str">
        <f aca="false">IF(OR(L278="",M278=""),"",ABS(L278)+ABS(M278))</f>
        <v/>
      </c>
      <c r="O278" s="3" t="str">
        <f aca="false">IF(OR(L278="",M278=""),"","SE?")</f>
        <v/>
      </c>
    </row>
    <row r="279" customFormat="false" ht="17" hidden="false" customHeight="true" outlineLevel="0" collapsed="false">
      <c r="C279" s="2" t="n">
        <f aca="false">L__B!$C$279</f>
        <v>5</v>
      </c>
      <c r="D279" s="2" t="n">
        <f aca="false">L__B!$D$279</f>
        <v>10</v>
      </c>
      <c r="E279" s="102" t="n">
        <f aca="false">L__B!$E$279</f>
        <v>278</v>
      </c>
      <c r="F279" s="103" t="n">
        <f aca="false">calc!$AN$279</f>
        <v>193.660153266988</v>
      </c>
      <c r="G279" s="103" t="n">
        <f aca="false">IF(ABS(F279-F278)&lt;100,F279,"")</f>
        <v>193.660153266988</v>
      </c>
      <c r="H279" s="16" t="n">
        <f aca="false">calc!$X$279</f>
        <v>308.1106114284</v>
      </c>
      <c r="I279" s="104" t="n">
        <f aca="false">IF(ABS(H279-H278)&lt;100,H279,"")</f>
        <v>308.1106114284</v>
      </c>
      <c r="J279" s="6" t="n">
        <f aca="false">calc!$Z$279</f>
        <v>-5.17731046224389</v>
      </c>
      <c r="K279" s="16" t="n">
        <f aca="false">10*J279</f>
        <v>-51.7731046224389</v>
      </c>
      <c r="L279" s="6" t="str">
        <f aca="false">IF(ABS(H279-F279)/17.4&lt;1,(H279-F279)/17.4,"")</f>
        <v/>
      </c>
      <c r="M279" s="6" t="str">
        <f aca="false">IF(ABS(J279)/1.58&lt;1,J279/1.58/1.58,"")</f>
        <v/>
      </c>
      <c r="N279" s="6" t="str">
        <f aca="false">IF(OR(L279="",M279=""),"",ABS(L279)+ABS(M279))</f>
        <v/>
      </c>
      <c r="O279" s="3" t="str">
        <f aca="false">IF(OR(L279="",M279=""),"","SE?")</f>
        <v/>
      </c>
    </row>
    <row r="280" customFormat="false" ht="17" hidden="false" customHeight="true" outlineLevel="0" collapsed="false">
      <c r="C280" s="2" t="n">
        <f aca="false">L__B!$C$280</f>
        <v>6</v>
      </c>
      <c r="D280" s="2" t="n">
        <f aca="false">L__B!$D$280</f>
        <v>10</v>
      </c>
      <c r="E280" s="102" t="n">
        <f aca="false">L__B!$E$280</f>
        <v>279</v>
      </c>
      <c r="F280" s="103" t="n">
        <f aca="false">calc!$AN$280</f>
        <v>194.645800630871</v>
      </c>
      <c r="G280" s="103" t="n">
        <f aca="false">IF(ABS(F280-F279)&lt;100,F280,"")</f>
        <v>194.645800630871</v>
      </c>
      <c r="H280" s="16" t="n">
        <f aca="false">calc!$X$280</f>
        <v>322.375144736873</v>
      </c>
      <c r="I280" s="104" t="n">
        <f aca="false">IF(ABS(H280-H279)&lt;100,H280,"")</f>
        <v>322.375144736873</v>
      </c>
      <c r="J280" s="6" t="n">
        <f aca="false">calc!$Z$280</f>
        <v>-5.14340962238135</v>
      </c>
      <c r="K280" s="16" t="n">
        <f aca="false">10*J280</f>
        <v>-51.4340962238135</v>
      </c>
      <c r="L280" s="6" t="str">
        <f aca="false">IF(ABS(H280-F280)/17.4&lt;1,(H280-F280)/17.4,"")</f>
        <v/>
      </c>
      <c r="M280" s="6" t="str">
        <f aca="false">IF(ABS(J280)/1.58&lt;1,J280/1.58/1.58,"")</f>
        <v/>
      </c>
      <c r="N280" s="6" t="str">
        <f aca="false">IF(OR(L280="",M280=""),"",ABS(L280)+ABS(M280))</f>
        <v/>
      </c>
      <c r="O280" s="3" t="str">
        <f aca="false">IF(OR(L280="",M280=""),"","SE?")</f>
        <v/>
      </c>
    </row>
    <row r="281" customFormat="false" ht="17" hidden="false" customHeight="true" outlineLevel="0" collapsed="false">
      <c r="C281" s="2" t="n">
        <f aca="false">L__B!$C$281</f>
        <v>7</v>
      </c>
      <c r="D281" s="2" t="n">
        <f aca="false">L__B!$D$281</f>
        <v>10</v>
      </c>
      <c r="E281" s="102" t="n">
        <f aca="false">L__B!$E$281</f>
        <v>280</v>
      </c>
      <c r="F281" s="103" t="n">
        <f aca="false">calc!$AN$281</f>
        <v>195.631447994752</v>
      </c>
      <c r="G281" s="103" t="n">
        <f aca="false">IF(ABS(F281-F280)&lt;100,F281,"")</f>
        <v>195.631447994752</v>
      </c>
      <c r="H281" s="16" t="n">
        <f aca="false">calc!$X$281</f>
        <v>336.597083267367</v>
      </c>
      <c r="I281" s="104" t="n">
        <f aca="false">IF(ABS(H281-H280)&lt;100,H281,"")</f>
        <v>336.597083267367</v>
      </c>
      <c r="J281" s="6" t="n">
        <f aca="false">calc!$Z$281</f>
        <v>-4.79457675224573</v>
      </c>
      <c r="K281" s="16" t="n">
        <f aca="false">10*J281</f>
        <v>-47.9457675224573</v>
      </c>
      <c r="L281" s="6" t="str">
        <f aca="false">IF(ABS(H281-F281)/17.4&lt;1,(H281-F281)/17.4,"")</f>
        <v/>
      </c>
      <c r="M281" s="6" t="str">
        <f aca="false">IF(ABS(J281)/1.58&lt;1,J281/1.58/1.58,"")</f>
        <v/>
      </c>
      <c r="N281" s="6" t="str">
        <f aca="false">IF(OR(L281="",M281=""),"",ABS(L281)+ABS(M281))</f>
        <v/>
      </c>
      <c r="O281" s="3" t="str">
        <f aca="false">IF(OR(L281="",M281=""),"","SE?")</f>
        <v/>
      </c>
    </row>
    <row r="282" customFormat="false" ht="17" hidden="false" customHeight="true" outlineLevel="0" collapsed="false">
      <c r="C282" s="2" t="n">
        <f aca="false">L__B!$C$282</f>
        <v>8</v>
      </c>
      <c r="D282" s="2" t="n">
        <f aca="false">L__B!$D$282</f>
        <v>10</v>
      </c>
      <c r="E282" s="102" t="n">
        <f aca="false">L__B!$E$282</f>
        <v>281</v>
      </c>
      <c r="F282" s="103" t="n">
        <f aca="false">calc!$AN$282</f>
        <v>196.617095358637</v>
      </c>
      <c r="G282" s="103" t="n">
        <f aca="false">IF(ABS(F282-F281)&lt;100,F282,"")</f>
        <v>196.617095358637</v>
      </c>
      <c r="H282" s="16" t="n">
        <f aca="false">calc!$X$282</f>
        <v>350.704465516075</v>
      </c>
      <c r="I282" s="104" t="n">
        <f aca="false">IF(ABS(H282-H281)&lt;100,H282,"")</f>
        <v>350.704465516075</v>
      </c>
      <c r="J282" s="6" t="n">
        <f aca="false">calc!$Z$282</f>
        <v>-4.15761074534745</v>
      </c>
      <c r="K282" s="16" t="n">
        <f aca="false">10*J282</f>
        <v>-41.5761074534745</v>
      </c>
      <c r="L282" s="6" t="str">
        <f aca="false">IF(ABS(H282-F282)/17.4&lt;1,(H282-F282)/17.4,"")</f>
        <v/>
      </c>
      <c r="M282" s="6" t="str">
        <f aca="false">IF(ABS(J282)/1.58&lt;1,J282/1.58/1.58,"")</f>
        <v/>
      </c>
      <c r="N282" s="6" t="str">
        <f aca="false">IF(OR(L282="",M282=""),"",ABS(L282)+ABS(M282))</f>
        <v/>
      </c>
      <c r="O282" s="3" t="str">
        <f aca="false">IF(OR(L282="",M282=""),"","SE?")</f>
        <v/>
      </c>
    </row>
    <row r="283" customFormat="false" ht="17" hidden="false" customHeight="true" outlineLevel="0" collapsed="false">
      <c r="C283" s="2" t="n">
        <f aca="false">L__B!$C$283</f>
        <v>9</v>
      </c>
      <c r="D283" s="2" t="n">
        <f aca="false">L__B!$D$283</f>
        <v>10</v>
      </c>
      <c r="E283" s="102" t="n">
        <f aca="false">L__B!$E$283</f>
        <v>282</v>
      </c>
      <c r="F283" s="103" t="n">
        <f aca="false">calc!$AN$283</f>
        <v>197.60274272252</v>
      </c>
      <c r="G283" s="103" t="n">
        <f aca="false">IF(ABS(F283-F282)&lt;100,F283,"")</f>
        <v>197.60274272252</v>
      </c>
      <c r="H283" s="16" t="n">
        <f aca="false">calc!$X$283</f>
        <v>4.62085946122568</v>
      </c>
      <c r="I283" s="104" t="str">
        <f aca="false">IF(ABS(H283-H282)&lt;100,H283,"")</f>
        <v/>
      </c>
      <c r="J283" s="6" t="n">
        <f aca="false">calc!$Z$283</f>
        <v>-3.2811565888454</v>
      </c>
      <c r="K283" s="16" t="n">
        <f aca="false">10*J283</f>
        <v>-32.811565888454</v>
      </c>
      <c r="L283" s="6" t="str">
        <f aca="false">IF(ABS(H283-F283)/17.4&lt;1,(H283-F283)/17.4,"")</f>
        <v/>
      </c>
      <c r="M283" s="6" t="str">
        <f aca="false">IF(ABS(J283)/1.58&lt;1,J283/1.58/1.58,"")</f>
        <v/>
      </c>
      <c r="N283" s="6" t="str">
        <f aca="false">IF(OR(L283="",M283=""),"",ABS(L283)+ABS(M283))</f>
        <v/>
      </c>
      <c r="O283" s="3" t="str">
        <f aca="false">IF(OR(L283="",M283=""),"","SE?")</f>
        <v/>
      </c>
    </row>
    <row r="284" customFormat="false" ht="17" hidden="false" customHeight="true" outlineLevel="0" collapsed="false">
      <c r="C284" s="2" t="n">
        <f aca="false">L__B!$C$284</f>
        <v>10</v>
      </c>
      <c r="D284" s="2" t="n">
        <f aca="false">L__B!$D$284</f>
        <v>10</v>
      </c>
      <c r="E284" s="102" t="n">
        <f aca="false">L__B!$E$284</f>
        <v>283</v>
      </c>
      <c r="F284" s="103" t="n">
        <f aca="false">calc!$AN$284</f>
        <v>198.588390086406</v>
      </c>
      <c r="G284" s="103" t="n">
        <f aca="false">IF(ABS(F284-F283)&lt;100,F284,"")</f>
        <v>198.588390086406</v>
      </c>
      <c r="H284" s="16" t="n">
        <f aca="false">calc!$X$284</f>
        <v>18.2768955131585</v>
      </c>
      <c r="I284" s="104" t="n">
        <f aca="false">IF(ABS(H284-H283)&lt;100,H284,"")</f>
        <v>18.2768955131585</v>
      </c>
      <c r="J284" s="6" t="n">
        <f aca="false">calc!$Z$284</f>
        <v>-2.22990818457164</v>
      </c>
      <c r="K284" s="16" t="n">
        <f aca="false">10*J284</f>
        <v>-22.2990818457164</v>
      </c>
      <c r="L284" s="6" t="str">
        <f aca="false">IF(ABS(H284-F284)/17.4&lt;1,(H284-F284)/17.4,"")</f>
        <v/>
      </c>
      <c r="M284" s="6" t="str">
        <f aca="false">IF(ABS(J284)/1.58&lt;1,J284/1.58/1.58,"")</f>
        <v/>
      </c>
      <c r="N284" s="6" t="str">
        <f aca="false">IF(OR(L284="",M284=""),"",ABS(L284)+ABS(M284))</f>
        <v/>
      </c>
      <c r="O284" s="3" t="str">
        <f aca="false">IF(OR(L284="",M284=""),"","SE?")</f>
        <v/>
      </c>
    </row>
    <row r="285" customFormat="false" ht="17" hidden="false" customHeight="true" outlineLevel="0" collapsed="false">
      <c r="C285" s="2" t="n">
        <f aca="false">L__B!$C$285</f>
        <v>11</v>
      </c>
      <c r="D285" s="2" t="n">
        <f aca="false">L__B!$D$285</f>
        <v>10</v>
      </c>
      <c r="E285" s="102" t="n">
        <f aca="false">L__B!$E$285</f>
        <v>284</v>
      </c>
      <c r="F285" s="103" t="n">
        <f aca="false">calc!$AN$285</f>
        <v>199.574037450289</v>
      </c>
      <c r="G285" s="103" t="n">
        <f aca="false">IF(ABS(F285-F284)&lt;100,F285,"")</f>
        <v>199.574037450289</v>
      </c>
      <c r="H285" s="16" t="n">
        <f aca="false">calc!$X$285</f>
        <v>31.6218588600164</v>
      </c>
      <c r="I285" s="104" t="n">
        <f aca="false">IF(ABS(H285-H284)&lt;100,H285,"")</f>
        <v>31.6218588600164</v>
      </c>
      <c r="J285" s="6" t="n">
        <f aca="false">calc!$Z$285</f>
        <v>-1.0762440743104</v>
      </c>
      <c r="K285" s="16" t="n">
        <f aca="false">10*J285</f>
        <v>-10.762440743104</v>
      </c>
      <c r="L285" s="6" t="str">
        <f aca="false">IF(ABS(H285-F285)/17.4&lt;1,(H285-F285)/17.4,"")</f>
        <v/>
      </c>
      <c r="M285" s="6" t="n">
        <f aca="false">IF(ABS(J285)/1.58&lt;1,J285/1.58/1.58,"")</f>
        <v>-0.431118440278159</v>
      </c>
      <c r="N285" s="6" t="str">
        <f aca="false">IF(OR(L285="",M285=""),"",ABS(L285)+ABS(M285))</f>
        <v/>
      </c>
      <c r="O285" s="3" t="str">
        <f aca="false">IF(OR(L285="",M285=""),"","SE?")</f>
        <v/>
      </c>
    </row>
    <row r="286" customFormat="false" ht="17" hidden="false" customHeight="true" outlineLevel="0" collapsed="false">
      <c r="C286" s="2" t="n">
        <f aca="false">L__B!$C$286</f>
        <v>12</v>
      </c>
      <c r="D286" s="2" t="n">
        <f aca="false">L__B!$D$286</f>
        <v>10</v>
      </c>
      <c r="E286" s="102" t="n">
        <f aca="false">L__B!$E$286</f>
        <v>285</v>
      </c>
      <c r="F286" s="103" t="n">
        <f aca="false">calc!$AN$286</f>
        <v>200.559684814176</v>
      </c>
      <c r="G286" s="103" t="n">
        <f aca="false">IF(ABS(F286-F285)&lt;100,F286,"")</f>
        <v>200.559684814176</v>
      </c>
      <c r="H286" s="16" t="n">
        <f aca="false">calc!$X$286</f>
        <v>44.6322131796149</v>
      </c>
      <c r="I286" s="104" t="n">
        <f aca="false">IF(ABS(H286-H285)&lt;100,H286,"")</f>
        <v>44.6322131796149</v>
      </c>
      <c r="J286" s="6" t="n">
        <f aca="false">calc!$Z$286</f>
        <v>0.108459902262384</v>
      </c>
      <c r="K286" s="16" t="n">
        <f aca="false">10*J286</f>
        <v>1.08459902262384</v>
      </c>
      <c r="L286" s="6" t="str">
        <f aca="false">IF(ABS(H286-F286)/17.4&lt;1,(H286-F286)/17.4,"")</f>
        <v/>
      </c>
      <c r="M286" s="6" t="n">
        <f aca="false">IF(ABS(J286)/1.58&lt;1,J286/1.58/1.58,"")</f>
        <v>0.0434465238993686</v>
      </c>
      <c r="N286" s="6" t="str">
        <f aca="false">IF(OR(L286="",M286=""),"",ABS(L286)+ABS(M286))</f>
        <v/>
      </c>
      <c r="O286" s="3" t="str">
        <f aca="false">IF(OR(L286="",M286=""),"","SE?")</f>
        <v/>
      </c>
    </row>
    <row r="287" customFormat="false" ht="17" hidden="false" customHeight="true" outlineLevel="0" collapsed="false">
      <c r="C287" s="2" t="n">
        <f aca="false">L__B!$C$287</f>
        <v>13</v>
      </c>
      <c r="D287" s="2" t="n">
        <f aca="false">L__B!$D$287</f>
        <v>10</v>
      </c>
      <c r="E287" s="102" t="n">
        <f aca="false">L__B!$E$287</f>
        <v>286</v>
      </c>
      <c r="F287" s="103" t="n">
        <f aca="false">calc!$AN$287</f>
        <v>201.545332178061</v>
      </c>
      <c r="G287" s="103" t="n">
        <f aca="false">IF(ABS(F287-F286)&lt;100,F287,"")</f>
        <v>201.545332178061</v>
      </c>
      <c r="H287" s="16" t="n">
        <f aca="false">calc!$X$287</f>
        <v>57.3149355426648</v>
      </c>
      <c r="I287" s="104" t="n">
        <f aca="false">IF(ABS(H287-H286)&lt;100,H287,"")</f>
        <v>57.3149355426648</v>
      </c>
      <c r="J287" s="6" t="n">
        <f aca="false">calc!$Z$287</f>
        <v>1.26054652737502</v>
      </c>
      <c r="K287" s="16" t="n">
        <f aca="false">10*J287</f>
        <v>12.6054652737502</v>
      </c>
      <c r="L287" s="6" t="str">
        <f aca="false">IF(ABS(H287-F287)/17.4&lt;1,(H287-F287)/17.4,"")</f>
        <v/>
      </c>
      <c r="M287" s="6" t="n">
        <f aca="false">IF(ABS(J287)/1.58&lt;1,J287/1.58/1.58,"")</f>
        <v>0.504945732805248</v>
      </c>
      <c r="N287" s="6" t="str">
        <f aca="false">IF(OR(L287="",M287=""),"",ABS(L287)+ABS(M287))</f>
        <v/>
      </c>
      <c r="O287" s="3" t="str">
        <f aca="false">IF(OR(L287="",M287=""),"","SE?")</f>
        <v/>
      </c>
    </row>
    <row r="288" customFormat="false" ht="17" hidden="false" customHeight="true" outlineLevel="0" collapsed="false">
      <c r="C288" s="2" t="n">
        <f aca="false">L__B!$C$288</f>
        <v>14</v>
      </c>
      <c r="D288" s="2" t="n">
        <f aca="false">L__B!$D$288</f>
        <v>10</v>
      </c>
      <c r="E288" s="102" t="n">
        <f aca="false">L__B!$E$288</f>
        <v>287</v>
      </c>
      <c r="F288" s="103" t="n">
        <f aca="false">calc!$AN$288</f>
        <v>202.530979541949</v>
      </c>
      <c r="G288" s="103" t="n">
        <f aca="false">IF(ABS(F288-F287)&lt;100,F288,"")</f>
        <v>202.530979541949</v>
      </c>
      <c r="H288" s="16" t="n">
        <f aca="false">calc!$X$288</f>
        <v>69.7052360740115</v>
      </c>
      <c r="I288" s="104" t="n">
        <f aca="false">IF(ABS(H288-H287)&lt;100,H288,"")</f>
        <v>69.7052360740115</v>
      </c>
      <c r="J288" s="6" t="n">
        <f aca="false">calc!$Z$288</f>
        <v>2.32754385636861</v>
      </c>
      <c r="K288" s="16" t="n">
        <f aca="false">10*J288</f>
        <v>23.2754385636861</v>
      </c>
      <c r="L288" s="6" t="str">
        <f aca="false">IF(ABS(H288-F288)/17.4&lt;1,(H288-F288)/17.4,"")</f>
        <v/>
      </c>
      <c r="M288" s="6" t="str">
        <f aca="false">IF(ABS(J288)/1.58&lt;1,J288/1.58/1.58,"")</f>
        <v/>
      </c>
      <c r="N288" s="6" t="str">
        <f aca="false">IF(OR(L288="",M288=""),"",ABS(L288)+ABS(M288))</f>
        <v/>
      </c>
      <c r="O288" s="3" t="str">
        <f aca="false">IF(OR(L288="",M288=""),"","SE?")</f>
        <v/>
      </c>
    </row>
    <row r="289" customFormat="false" ht="17" hidden="false" customHeight="true" outlineLevel="0" collapsed="false">
      <c r="C289" s="2" t="n">
        <f aca="false">L__B!$C$289</f>
        <v>15</v>
      </c>
      <c r="D289" s="2" t="n">
        <f aca="false">L__B!$D$289</f>
        <v>10</v>
      </c>
      <c r="E289" s="102" t="n">
        <f aca="false">L__B!$E$289</f>
        <v>288</v>
      </c>
      <c r="F289" s="103" t="n">
        <f aca="false">calc!$AN$289</f>
        <v>203.516626905834</v>
      </c>
      <c r="G289" s="103" t="n">
        <f aca="false">IF(ABS(F289-F288)&lt;100,F289,"")</f>
        <v>203.516626905834</v>
      </c>
      <c r="H289" s="16" t="n">
        <f aca="false">calc!$X$289</f>
        <v>81.8599688055641</v>
      </c>
      <c r="I289" s="104" t="n">
        <f aca="false">IF(ABS(H289-H288)&lt;100,H289,"")</f>
        <v>81.8599688055641</v>
      </c>
      <c r="J289" s="6" t="n">
        <f aca="false">calc!$Z$289</f>
        <v>3.26848842353458</v>
      </c>
      <c r="K289" s="16" t="n">
        <f aca="false">10*J289</f>
        <v>32.6848842353458</v>
      </c>
      <c r="L289" s="6" t="str">
        <f aca="false">IF(ABS(H289-F289)/17.4&lt;1,(H289-F289)/17.4,"")</f>
        <v/>
      </c>
      <c r="M289" s="6" t="str">
        <f aca="false">IF(ABS(J289)/1.58&lt;1,J289/1.58/1.58,"")</f>
        <v/>
      </c>
      <c r="N289" s="6" t="str">
        <f aca="false">IF(OR(L289="",M289=""),"",ABS(L289)+ABS(M289))</f>
        <v/>
      </c>
      <c r="O289" s="3" t="str">
        <f aca="false">IF(OR(L289="",M289=""),"","SE?")</f>
        <v/>
      </c>
    </row>
    <row r="290" customFormat="false" ht="17" hidden="false" customHeight="true" outlineLevel="0" collapsed="false">
      <c r="C290" s="2" t="n">
        <f aca="false">L__B!$C$290</f>
        <v>16</v>
      </c>
      <c r="D290" s="2" t="n">
        <f aca="false">L__B!$D$290</f>
        <v>10</v>
      </c>
      <c r="E290" s="102" t="n">
        <f aca="false">L__B!$E$290</f>
        <v>289</v>
      </c>
      <c r="F290" s="103" t="n">
        <f aca="false">calc!$AN$290</f>
        <v>204.50227426972</v>
      </c>
      <c r="G290" s="103" t="n">
        <f aca="false">IF(ABS(F290-F289)&lt;100,F290,"")</f>
        <v>204.50227426972</v>
      </c>
      <c r="H290" s="16" t="n">
        <f aca="false">calc!$X$290</f>
        <v>93.8491671624246</v>
      </c>
      <c r="I290" s="104" t="n">
        <f aca="false">IF(ABS(H290-H289)&lt;100,H290,"")</f>
        <v>93.8491671624246</v>
      </c>
      <c r="J290" s="6" t="n">
        <f aca="false">calc!$Z$290</f>
        <v>4.05219005303252</v>
      </c>
      <c r="K290" s="16" t="n">
        <f aca="false">10*J290</f>
        <v>40.5219005303252</v>
      </c>
      <c r="L290" s="6" t="str">
        <f aca="false">IF(ABS(H290-F290)/17.4&lt;1,(H290-F290)/17.4,"")</f>
        <v/>
      </c>
      <c r="M290" s="6" t="str">
        <f aca="false">IF(ABS(J290)/1.58&lt;1,J290/1.58/1.58,"")</f>
        <v/>
      </c>
      <c r="N290" s="6" t="str">
        <f aca="false">IF(OR(L290="",M290=""),"",ABS(L290)+ABS(M290))</f>
        <v/>
      </c>
      <c r="O290" s="3" t="str">
        <f aca="false">IF(OR(L290="",M290=""),"","SE?")</f>
        <v/>
      </c>
    </row>
    <row r="291" customFormat="false" ht="17" hidden="false" customHeight="true" outlineLevel="0" collapsed="false">
      <c r="C291" s="2" t="n">
        <f aca="false">L__B!$C$291</f>
        <v>17</v>
      </c>
      <c r="D291" s="2" t="n">
        <f aca="false">L__B!$D$291</f>
        <v>10</v>
      </c>
      <c r="E291" s="102" t="n">
        <f aca="false">L__B!$E$291</f>
        <v>290</v>
      </c>
      <c r="F291" s="103" t="n">
        <f aca="false">calc!$AN$291</f>
        <v>205.487921633607</v>
      </c>
      <c r="G291" s="103" t="n">
        <f aca="false">IF(ABS(F291-F290)&lt;100,F291,"")</f>
        <v>205.487921633607</v>
      </c>
      <c r="H291" s="16" t="n">
        <f aca="false">calc!$X$291</f>
        <v>105.748270544179</v>
      </c>
      <c r="I291" s="104" t="n">
        <f aca="false">IF(ABS(H291-H290)&lt;100,H291,"")</f>
        <v>105.748270544179</v>
      </c>
      <c r="J291" s="6" t="n">
        <f aca="false">calc!$Z$291</f>
        <v>4.65476392803579</v>
      </c>
      <c r="K291" s="16" t="n">
        <f aca="false">10*J291</f>
        <v>46.5476392803579</v>
      </c>
      <c r="L291" s="6" t="str">
        <f aca="false">IF(ABS(H291-F291)/17.4&lt;1,(H291-F291)/17.4,"")</f>
        <v/>
      </c>
      <c r="M291" s="6" t="str">
        <f aca="false">IF(ABS(J291)/1.58&lt;1,J291/1.58/1.58,"")</f>
        <v/>
      </c>
      <c r="N291" s="6" t="str">
        <f aca="false">IF(OR(L291="",M291=""),"",ABS(L291)+ABS(M291))</f>
        <v/>
      </c>
      <c r="O291" s="3" t="str">
        <f aca="false">IF(OR(L291="",M291=""),"","SE?")</f>
        <v/>
      </c>
    </row>
    <row r="292" customFormat="false" ht="17" hidden="false" customHeight="true" outlineLevel="0" collapsed="false">
      <c r="C292" s="2" t="n">
        <f aca="false">L__B!$C$292</f>
        <v>18</v>
      </c>
      <c r="D292" s="2" t="n">
        <f aca="false">L__B!$D$292</f>
        <v>10</v>
      </c>
      <c r="E292" s="102" t="n">
        <f aca="false">L__B!$E$292</f>
        <v>291</v>
      </c>
      <c r="F292" s="103" t="n">
        <f aca="false">calc!$AN$292</f>
        <v>206.473568997493</v>
      </c>
      <c r="G292" s="103" t="n">
        <f aca="false">IF(ABS(F292-F291)&lt;100,F292,"")</f>
        <v>206.473568997493</v>
      </c>
      <c r="H292" s="16" t="n">
        <f aca="false">calc!$X$292</f>
        <v>117.632765486139</v>
      </c>
      <c r="I292" s="104" t="n">
        <f aca="false">IF(ABS(H292-H291)&lt;100,H292,"")</f>
        <v>117.632765486139</v>
      </c>
      <c r="J292" s="6" t="n">
        <f aca="false">calc!$Z$292</f>
        <v>5.05742708445702</v>
      </c>
      <c r="K292" s="16" t="n">
        <f aca="false">10*J292</f>
        <v>50.5742708445702</v>
      </c>
      <c r="L292" s="6" t="str">
        <f aca="false">IF(ABS(H292-F292)/17.4&lt;1,(H292-F292)/17.4,"")</f>
        <v/>
      </c>
      <c r="M292" s="6" t="str">
        <f aca="false">IF(ABS(J292)/1.58&lt;1,J292/1.58/1.58,"")</f>
        <v/>
      </c>
      <c r="N292" s="6" t="str">
        <f aca="false">IF(OR(L292="",M292=""),"",ABS(L292)+ABS(M292))</f>
        <v/>
      </c>
      <c r="O292" s="3" t="str">
        <f aca="false">IF(OR(L292="",M292=""),"","SE?")</f>
        <v/>
      </c>
    </row>
    <row r="293" customFormat="false" ht="17" hidden="false" customHeight="true" outlineLevel="0" collapsed="false">
      <c r="C293" s="2" t="n">
        <f aca="false">L__B!$C$293</f>
        <v>19</v>
      </c>
      <c r="D293" s="2" t="n">
        <f aca="false">L__B!$D$293</f>
        <v>10</v>
      </c>
      <c r="E293" s="102" t="n">
        <f aca="false">L__B!$E$293</f>
        <v>292</v>
      </c>
      <c r="F293" s="103" t="n">
        <f aca="false">calc!$AN$293</f>
        <v>207.459216361383</v>
      </c>
      <c r="G293" s="103" t="n">
        <f aca="false">IF(ABS(F293-F292)&lt;100,F293,"")</f>
        <v>207.459216361383</v>
      </c>
      <c r="H293" s="16" t="n">
        <f aca="false">calc!$X$293</f>
        <v>129.57555348169</v>
      </c>
      <c r="I293" s="104" t="n">
        <f aca="false">IF(ABS(H293-H292)&lt;100,H293,"")</f>
        <v>129.57555348169</v>
      </c>
      <c r="J293" s="6" t="n">
        <f aca="false">calc!$Z$293</f>
        <v>5.24506577133416</v>
      </c>
      <c r="K293" s="16" t="n">
        <f aca="false">10*J293</f>
        <v>52.4506577133416</v>
      </c>
      <c r="L293" s="6" t="str">
        <f aca="false">IF(ABS(H293-F293)/17.4&lt;1,(H293-F293)/17.4,"")</f>
        <v/>
      </c>
      <c r="M293" s="6" t="str">
        <f aca="false">IF(ABS(J293)/1.58&lt;1,J293/1.58/1.58,"")</f>
        <v/>
      </c>
      <c r="N293" s="6" t="str">
        <f aca="false">IF(OR(L293="",M293=""),"",ABS(L293)+ABS(M293))</f>
        <v/>
      </c>
      <c r="O293" s="3" t="str">
        <f aca="false">IF(OR(L293="",M293=""),"","SE?")</f>
        <v/>
      </c>
    </row>
    <row r="294" customFormat="false" ht="17" hidden="false" customHeight="true" outlineLevel="0" collapsed="false">
      <c r="C294" s="2" t="n">
        <f aca="false">L__B!$C$294</f>
        <v>20</v>
      </c>
      <c r="D294" s="2" t="n">
        <f aca="false">L__B!$D$294</f>
        <v>10</v>
      </c>
      <c r="E294" s="102" t="n">
        <f aca="false">L__B!$E$294</f>
        <v>293</v>
      </c>
      <c r="F294" s="103" t="n">
        <f aca="false">calc!$AN$294</f>
        <v>208.444863725274</v>
      </c>
      <c r="G294" s="103" t="n">
        <f aca="false">IF(ABS(F294-F293)&lt;100,F294,"")</f>
        <v>208.444863725274</v>
      </c>
      <c r="H294" s="16" t="n">
        <f aca="false">calc!$X$294</f>
        <v>141.646000477173</v>
      </c>
      <c r="I294" s="104" t="n">
        <f aca="false">IF(ABS(H294-H293)&lt;100,H294,"")</f>
        <v>141.646000477173</v>
      </c>
      <c r="J294" s="6" t="n">
        <f aca="false">calc!$Z$294</f>
        <v>5.20576197949573</v>
      </c>
      <c r="K294" s="16" t="n">
        <f aca="false">10*J294</f>
        <v>52.0576197949573</v>
      </c>
      <c r="L294" s="6" t="str">
        <f aca="false">IF(ABS(H294-F294)/17.4&lt;1,(H294-F294)/17.4,"")</f>
        <v/>
      </c>
      <c r="M294" s="6" t="str">
        <f aca="false">IF(ABS(J294)/1.58&lt;1,J294/1.58/1.58,"")</f>
        <v/>
      </c>
      <c r="N294" s="6" t="str">
        <f aca="false">IF(OR(L294="",M294=""),"",ABS(L294)+ABS(M294))</f>
        <v/>
      </c>
      <c r="O294" s="3" t="str">
        <f aca="false">IF(OR(L294="",M294=""),"","SE?")</f>
        <v/>
      </c>
    </row>
    <row r="295" customFormat="false" ht="17" hidden="false" customHeight="true" outlineLevel="0" collapsed="false">
      <c r="C295" s="2" t="n">
        <f aca="false">L__B!$C$295</f>
        <v>21</v>
      </c>
      <c r="D295" s="2" t="n">
        <f aca="false">L__B!$D$295</f>
        <v>10</v>
      </c>
      <c r="E295" s="102" t="n">
        <f aca="false">L__B!$E$295</f>
        <v>294</v>
      </c>
      <c r="F295" s="103" t="n">
        <f aca="false">calc!$AN$295</f>
        <v>209.430511089164</v>
      </c>
      <c r="G295" s="103" t="n">
        <f aca="false">IF(ABS(F295-F294)&lt;100,F295,"")</f>
        <v>209.430511089164</v>
      </c>
      <c r="H295" s="16" t="n">
        <f aca="false">calc!$X$295</f>
        <v>153.908898320713</v>
      </c>
      <c r="I295" s="104" t="n">
        <f aca="false">IF(ABS(H295-H294)&lt;100,H295,"")</f>
        <v>153.908898320713</v>
      </c>
      <c r="J295" s="6" t="n">
        <f aca="false">calc!$Z$295</f>
        <v>4.93141294976467</v>
      </c>
      <c r="K295" s="16" t="n">
        <f aca="false">10*J295</f>
        <v>49.3141294976467</v>
      </c>
      <c r="L295" s="6" t="str">
        <f aca="false">IF(ABS(H295-F295)/17.4&lt;1,(H295-F295)/17.4,"")</f>
        <v/>
      </c>
      <c r="M295" s="6" t="str">
        <f aca="false">IF(ABS(J295)/1.58&lt;1,J295/1.58/1.58,"")</f>
        <v/>
      </c>
      <c r="N295" s="6" t="str">
        <f aca="false">IF(OR(L295="",M295=""),"",ABS(L295)+ABS(M295))</f>
        <v/>
      </c>
      <c r="O295" s="3" t="str">
        <f aca="false">IF(OR(L295="",M295=""),"","SE?")</f>
        <v/>
      </c>
    </row>
    <row r="296" customFormat="false" ht="17" hidden="false" customHeight="true" outlineLevel="0" collapsed="false">
      <c r="C296" s="2" t="n">
        <f aca="false">L__B!$C$296</f>
        <v>22</v>
      </c>
      <c r="D296" s="2" t="n">
        <f aca="false">L__B!$D$296</f>
        <v>10</v>
      </c>
      <c r="E296" s="102" t="n">
        <f aca="false">L__B!$E$296</f>
        <v>295</v>
      </c>
      <c r="F296" s="103" t="n">
        <f aca="false">calc!$AN$296</f>
        <v>210.416158453054</v>
      </c>
      <c r="G296" s="103" t="n">
        <f aca="false">IF(ABS(F296-F295)&lt;100,F296,"")</f>
        <v>210.416158453054</v>
      </c>
      <c r="H296" s="16" t="n">
        <f aca="false">calc!$X$296</f>
        <v>166.421770859786</v>
      </c>
      <c r="I296" s="104" t="n">
        <f aca="false">IF(ABS(H296-H295)&lt;100,H296,"")</f>
        <v>166.421770859786</v>
      </c>
      <c r="J296" s="6" t="n">
        <f aca="false">calc!$Z$296</f>
        <v>4.41963138857495</v>
      </c>
      <c r="K296" s="16" t="n">
        <f aca="false">10*J296</f>
        <v>44.1963138857495</v>
      </c>
      <c r="L296" s="6" t="str">
        <f aca="false">IF(ABS(H296-F296)/17.4&lt;1,(H296-F296)/17.4,"")</f>
        <v/>
      </c>
      <c r="M296" s="6" t="str">
        <f aca="false">IF(ABS(J296)/1.58&lt;1,J296/1.58/1.58,"")</f>
        <v/>
      </c>
      <c r="N296" s="6" t="str">
        <f aca="false">IF(OR(L296="",M296=""),"",ABS(L296)+ABS(M296))</f>
        <v/>
      </c>
      <c r="O296" s="3" t="str">
        <f aca="false">IF(OR(L296="",M296=""),"","SE?")</f>
        <v/>
      </c>
    </row>
    <row r="297" customFormat="false" ht="17" hidden="false" customHeight="true" outlineLevel="0" collapsed="false">
      <c r="C297" s="2" t="n">
        <f aca="false">L__B!$C$297</f>
        <v>23</v>
      </c>
      <c r="D297" s="2" t="n">
        <f aca="false">L__B!$D$297</f>
        <v>10</v>
      </c>
      <c r="E297" s="102" t="n">
        <f aca="false">L__B!$E$297</f>
        <v>296</v>
      </c>
      <c r="F297" s="103" t="n">
        <f aca="false">calc!$AN$297</f>
        <v>211.401805816944</v>
      </c>
      <c r="G297" s="103" t="n">
        <f aca="false">IF(ABS(F297-F296)&lt;100,F297,"")</f>
        <v>211.401805816944</v>
      </c>
      <c r="H297" s="16" t="n">
        <f aca="false">calc!$X$297</f>
        <v>179.229979339265</v>
      </c>
      <c r="I297" s="104" t="n">
        <f aca="false">IF(ABS(H297-H296)&lt;100,H297,"")</f>
        <v>179.229979339265</v>
      </c>
      <c r="J297" s="6" t="n">
        <f aca="false">calc!$Z$297</f>
        <v>3.67700282776604</v>
      </c>
      <c r="K297" s="16" t="n">
        <f aca="false">10*J297</f>
        <v>36.7700282776604</v>
      </c>
      <c r="L297" s="6" t="str">
        <f aca="false">IF(ABS(H297-F297)/17.4&lt;1,(H297-F297)/17.4,"")</f>
        <v/>
      </c>
      <c r="M297" s="6" t="str">
        <f aca="false">IF(ABS(J297)/1.58&lt;1,J297/1.58/1.58,"")</f>
        <v/>
      </c>
      <c r="N297" s="6" t="str">
        <f aca="false">IF(OR(L297="",M297=""),"",ABS(L297)+ABS(M297))</f>
        <v/>
      </c>
      <c r="O297" s="3" t="str">
        <f aca="false">IF(OR(L297="",M297=""),"","SE?")</f>
        <v/>
      </c>
    </row>
    <row r="298" customFormat="false" ht="17" hidden="false" customHeight="true" outlineLevel="0" collapsed="false">
      <c r="C298" s="2" t="n">
        <f aca="false">L__B!$C$298</f>
        <v>24</v>
      </c>
      <c r="D298" s="2" t="n">
        <f aca="false">L__B!$D$298</f>
        <v>10</v>
      </c>
      <c r="E298" s="102" t="n">
        <f aca="false">L__B!$E$298</f>
        <v>297</v>
      </c>
      <c r="F298" s="103" t="n">
        <f aca="false">calc!$AN$298</f>
        <v>212.387453180836</v>
      </c>
      <c r="G298" s="103" t="n">
        <f aca="false">IF(ABS(F298-F297)&lt;100,F298,"")</f>
        <v>212.387453180836</v>
      </c>
      <c r="H298" s="16" t="n">
        <f aca="false">calc!$X$298</f>
        <v>192.360461709768</v>
      </c>
      <c r="I298" s="104" t="n">
        <f aca="false">IF(ABS(H298-H297)&lt;100,H298,"")</f>
        <v>192.360461709768</v>
      </c>
      <c r="J298" s="6" t="n">
        <f aca="false">calc!$Z$298</f>
        <v>2.72330466048128</v>
      </c>
      <c r="K298" s="16" t="n">
        <f aca="false">10*J298</f>
        <v>27.2330466048128</v>
      </c>
      <c r="L298" s="6" t="str">
        <f aca="false">IF(ABS(H298-F298)/17.4&lt;1,(H298-F298)/17.4,"")</f>
        <v/>
      </c>
      <c r="M298" s="6" t="str">
        <f aca="false">IF(ABS(J298)/1.58&lt;1,J298/1.58/1.58,"")</f>
        <v/>
      </c>
      <c r="N298" s="6" t="str">
        <f aca="false">IF(OR(L298="",M298=""),"",ABS(L298)+ABS(M298))</f>
        <v/>
      </c>
      <c r="O298" s="3" t="str">
        <f aca="false">IF(OR(L298="",M298=""),"","SE?")</f>
        <v/>
      </c>
    </row>
    <row r="299" customFormat="false" ht="17" hidden="false" customHeight="true" outlineLevel="0" collapsed="false">
      <c r="C299" s="2" t="n">
        <f aca="false">L__B!$C$299</f>
        <v>25</v>
      </c>
      <c r="D299" s="2" t="n">
        <f aca="false">L__B!$D$299</f>
        <v>10</v>
      </c>
      <c r="E299" s="102" t="n">
        <f aca="false">L__B!$E$299</f>
        <v>298</v>
      </c>
      <c r="F299" s="103" t="n">
        <f aca="false">calc!$AN$299</f>
        <v>213.373100544726</v>
      </c>
      <c r="G299" s="103" t="n">
        <f aca="false">IF(ABS(F299-F298)&lt;100,F299,"")</f>
        <v>213.373100544726</v>
      </c>
      <c r="H299" s="16" t="n">
        <f aca="false">calc!$X$299</f>
        <v>205.816058304899</v>
      </c>
      <c r="I299" s="104" t="n">
        <f aca="false">IF(ABS(H299-H298)&lt;100,H299,"")</f>
        <v>205.816058304899</v>
      </c>
      <c r="J299" s="6" t="n">
        <f aca="false">calc!$Z$299</f>
        <v>1.59552762392545</v>
      </c>
      <c r="K299" s="16" t="n">
        <f aca="false">10*J299</f>
        <v>15.9552762392545</v>
      </c>
      <c r="L299" s="6" t="n">
        <f aca="false">IF(ABS(H299-F299)/17.4&lt;1,(H299-F299)/17.4,"")</f>
        <v>-0.434312772403871</v>
      </c>
      <c r="M299" s="6" t="str">
        <f aca="false">IF(ABS(J299)/1.58&lt;1,J299/1.58/1.58,"")</f>
        <v/>
      </c>
      <c r="N299" s="6" t="str">
        <f aca="false">IF(OR(L299="",M299=""),"",ABS(L299)+ABS(M299))</f>
        <v/>
      </c>
      <c r="O299" s="3" t="str">
        <f aca="false">IF(OR(L299="",M299=""),"","SE?")</f>
        <v/>
      </c>
    </row>
    <row r="300" customFormat="false" ht="17" hidden="false" customHeight="true" outlineLevel="0" collapsed="false">
      <c r="C300" s="2" t="n">
        <f aca="false">L__B!$C$300</f>
        <v>26</v>
      </c>
      <c r="D300" s="2" t="n">
        <f aca="false">L__B!$D$300</f>
        <v>10</v>
      </c>
      <c r="E300" s="102" t="n">
        <f aca="false">L__B!$E$300</f>
        <v>299</v>
      </c>
      <c r="F300" s="103" t="n">
        <f aca="false">calc!$AN$300</f>
        <v>214.358747908616</v>
      </c>
      <c r="G300" s="103" t="n">
        <f aca="false">IF(ABS(F300-F299)&lt;100,F300,"")</f>
        <v>214.358747908616</v>
      </c>
      <c r="H300" s="16" t="n">
        <f aca="false">calc!$X$300</f>
        <v>219.572714598298</v>
      </c>
      <c r="I300" s="104" t="n">
        <f aca="false">IF(ABS(H300-H299)&lt;100,H300,"")</f>
        <v>219.572714598298</v>
      </c>
      <c r="J300" s="6" t="n">
        <f aca="false">calc!$Z$300</f>
        <v>0.349888750256671</v>
      </c>
      <c r="K300" s="16" t="n">
        <f aca="false">10*J300</f>
        <v>3.49888750256671</v>
      </c>
      <c r="L300" s="6" t="n">
        <f aca="false">IF(ABS(H300-F300)/17.4&lt;1,(H300-F300)/17.4,"")</f>
        <v>0.299653258027668</v>
      </c>
      <c r="M300" s="6" t="n">
        <f aca="false">IF(ABS(J300)/1.58&lt;1,J300/1.58/1.58,"")</f>
        <v>0.140157326653049</v>
      </c>
      <c r="N300" s="6" t="n">
        <f aca="false">IF(OR(L300="",M300=""),"",ABS(L300)+ABS(M300))</f>
        <v>0.439810584680717</v>
      </c>
      <c r="O300" s="3" t="str">
        <f aca="false">IF(OR(L300="",M300=""),"","SE?")</f>
        <v>SE?</v>
      </c>
    </row>
    <row r="301" customFormat="false" ht="17" hidden="false" customHeight="true" outlineLevel="0" collapsed="false">
      <c r="C301" s="2" t="n">
        <f aca="false">L__B!$C$301</f>
        <v>27</v>
      </c>
      <c r="D301" s="2" t="n">
        <f aca="false">L__B!$D$301</f>
        <v>10</v>
      </c>
      <c r="E301" s="102" t="n">
        <f aca="false">L__B!$E$301</f>
        <v>300</v>
      </c>
      <c r="F301" s="103" t="n">
        <f aca="false">calc!$AN$301</f>
        <v>215.344395272508</v>
      </c>
      <c r="G301" s="103" t="n">
        <f aca="false">IF(ABS(F301-F300)&lt;100,F301,"")</f>
        <v>215.344395272508</v>
      </c>
      <c r="H301" s="16" t="n">
        <f aca="false">calc!$X$301</f>
        <v>233.581214414584</v>
      </c>
      <c r="I301" s="104" t="n">
        <f aca="false">IF(ABS(H301-H300)&lt;100,H301,"")</f>
        <v>233.581214414584</v>
      </c>
      <c r="J301" s="6" t="n">
        <f aca="false">calc!$Z$301</f>
        <v>-0.939936300098635</v>
      </c>
      <c r="K301" s="16" t="n">
        <f aca="false">10*J301</f>
        <v>-9.39936300098635</v>
      </c>
      <c r="L301" s="6" t="str">
        <f aca="false">IF(ABS(H301-F301)/17.4&lt;1,(H301-F301)/17.4,"")</f>
        <v/>
      </c>
      <c r="M301" s="6" t="n">
        <f aca="false">IF(ABS(J301)/1.58&lt;1,J301/1.58/1.58,"")</f>
        <v>-0.376516704093348</v>
      </c>
      <c r="N301" s="6" t="str">
        <f aca="false">IF(OR(L301="",M301=""),"",ABS(L301)+ABS(M301))</f>
        <v/>
      </c>
      <c r="O301" s="3" t="str">
        <f aca="false">IF(OR(L301="",M301=""),"","SE?")</f>
        <v/>
      </c>
    </row>
    <row r="302" customFormat="false" ht="17" hidden="false" customHeight="true" outlineLevel="0" collapsed="false">
      <c r="C302" s="2" t="n">
        <f aca="false">L__B!$C$302</f>
        <v>28</v>
      </c>
      <c r="D302" s="2" t="n">
        <f aca="false">L__B!$D$302</f>
        <v>10</v>
      </c>
      <c r="E302" s="102" t="n">
        <f aca="false">L__B!$E$302</f>
        <v>301</v>
      </c>
      <c r="F302" s="103" t="n">
        <f aca="false">calc!$AN$302</f>
        <v>216.330042636402</v>
      </c>
      <c r="G302" s="103" t="n">
        <f aca="false">IF(ABS(F302-F301)&lt;100,F302,"")</f>
        <v>216.330042636402</v>
      </c>
      <c r="H302" s="16" t="n">
        <f aca="false">calc!$X$302</f>
        <v>247.773695630033</v>
      </c>
      <c r="I302" s="104" t="n">
        <f aca="false">IF(ABS(H302-H301)&lt;100,H302,"")</f>
        <v>247.773695630033</v>
      </c>
      <c r="J302" s="6" t="n">
        <f aca="false">calc!$Z$302</f>
        <v>-2.18906381211348</v>
      </c>
      <c r="K302" s="16" t="n">
        <f aca="false">10*J302</f>
        <v>-21.8906381211348</v>
      </c>
      <c r="L302" s="6" t="str">
        <f aca="false">IF(ABS(H302-F302)/17.4&lt;1,(H302-F302)/17.4,"")</f>
        <v/>
      </c>
      <c r="M302" s="6" t="str">
        <f aca="false">IF(ABS(J302)/1.58&lt;1,J302/1.58/1.58,"")</f>
        <v/>
      </c>
      <c r="N302" s="6" t="str">
        <f aca="false">IF(OR(L302="",M302=""),"",ABS(L302)+ABS(M302))</f>
        <v/>
      </c>
      <c r="O302" s="3" t="str">
        <f aca="false">IF(OR(L302="",M302=""),"","SE?")</f>
        <v/>
      </c>
    </row>
    <row r="303" customFormat="false" ht="17" hidden="false" customHeight="true" outlineLevel="0" collapsed="false">
      <c r="C303" s="2" t="n">
        <f aca="false">L__B!$C$303</f>
        <v>29</v>
      </c>
      <c r="D303" s="2" t="n">
        <f aca="false">L__B!$D$303</f>
        <v>10</v>
      </c>
      <c r="E303" s="102" t="n">
        <f aca="false">L__B!$E$303</f>
        <v>302</v>
      </c>
      <c r="F303" s="103" t="n">
        <f aca="false">calc!$AN$303</f>
        <v>217.315690000296</v>
      </c>
      <c r="G303" s="103" t="n">
        <f aca="false">IF(ABS(F303-F302)&lt;100,F303,"")</f>
        <v>217.315690000296</v>
      </c>
      <c r="H303" s="16" t="n">
        <f aca="false">calc!$X$303</f>
        <v>262.073571828577</v>
      </c>
      <c r="I303" s="104" t="n">
        <f aca="false">IF(ABS(H303-H302)&lt;100,H303,"")</f>
        <v>262.073571828577</v>
      </c>
      <c r="J303" s="6" t="n">
        <f aca="false">calc!$Z$303</f>
        <v>-3.31106006015076</v>
      </c>
      <c r="K303" s="16" t="n">
        <f aca="false">10*J303</f>
        <v>-33.1106006015076</v>
      </c>
      <c r="L303" s="6" t="str">
        <f aca="false">IF(ABS(H303-F303)/17.4&lt;1,(H303-F303)/17.4,"")</f>
        <v/>
      </c>
      <c r="M303" s="6" t="str">
        <f aca="false">IF(ABS(J303)/1.58&lt;1,J303/1.58/1.58,"")</f>
        <v/>
      </c>
      <c r="N303" s="6" t="str">
        <f aca="false">IF(OR(L303="",M303=""),"",ABS(L303)+ABS(M303))</f>
        <v/>
      </c>
      <c r="O303" s="3" t="str">
        <f aca="false">IF(OR(L303="",M303=""),"","SE?")</f>
        <v/>
      </c>
    </row>
    <row r="304" customFormat="false" ht="17" hidden="false" customHeight="true" outlineLevel="0" collapsed="false">
      <c r="C304" s="2" t="n">
        <f aca="false">L__B!$C$304</f>
        <v>30</v>
      </c>
      <c r="D304" s="2" t="n">
        <f aca="false">L__B!$D$304</f>
        <v>10</v>
      </c>
      <c r="E304" s="102" t="n">
        <f aca="false">L__B!$E$304</f>
        <v>303</v>
      </c>
      <c r="F304" s="103" t="n">
        <f aca="false">calc!$AN$304</f>
        <v>218.301337364186</v>
      </c>
      <c r="G304" s="103" t="n">
        <f aca="false">IF(ABS(F304-F303)&lt;100,F304,"")</f>
        <v>218.301337364186</v>
      </c>
      <c r="H304" s="16" t="n">
        <f aca="false">calc!$X$304</f>
        <v>276.406272329032</v>
      </c>
      <c r="I304" s="104" t="n">
        <f aca="false">IF(ABS(H304-H303)&lt;100,H304,"")</f>
        <v>276.406272329032</v>
      </c>
      <c r="J304" s="6" t="n">
        <f aca="false">calc!$Z$304</f>
        <v>-4.22841863332811</v>
      </c>
      <c r="K304" s="16" t="n">
        <f aca="false">10*J304</f>
        <v>-42.2841863332811</v>
      </c>
      <c r="L304" s="6" t="str">
        <f aca="false">IF(ABS(H304-F304)/17.4&lt;1,(H304-F304)/17.4,"")</f>
        <v/>
      </c>
      <c r="M304" s="6" t="str">
        <f aca="false">IF(ABS(J304)/1.58&lt;1,J304/1.58/1.58,"")</f>
        <v/>
      </c>
      <c r="N304" s="6" t="str">
        <f aca="false">IF(OR(L304="",M304=""),"",ABS(L304)+ABS(M304))</f>
        <v/>
      </c>
      <c r="O304" s="3" t="str">
        <f aca="false">IF(OR(L304="",M304=""),"","SE?")</f>
        <v/>
      </c>
    </row>
    <row r="305" customFormat="false" ht="17" hidden="false" customHeight="true" outlineLevel="0" collapsed="false">
      <c r="C305" s="2" t="n">
        <f aca="false">L__B!$C$305</f>
        <v>31</v>
      </c>
      <c r="D305" s="2" t="n">
        <f aca="false">L__B!$D$305</f>
        <v>10</v>
      </c>
      <c r="E305" s="102" t="n">
        <f aca="false">L__B!$E$305</f>
        <v>304</v>
      </c>
      <c r="F305" s="103" t="n">
        <f aca="false">calc!$AN$305</f>
        <v>219.286984728082</v>
      </c>
      <c r="G305" s="103" t="n">
        <f aca="false">IF(ABS(F305-F304)&lt;100,F305,"")</f>
        <v>219.286984728082</v>
      </c>
      <c r="H305" s="16" t="n">
        <f aca="false">calc!$X$305</f>
        <v>290.707909437266</v>
      </c>
      <c r="I305" s="104" t="n">
        <f aca="false">IF(ABS(H305-H304)&lt;100,H305,"")</f>
        <v>290.707909437266</v>
      </c>
      <c r="J305" s="6" t="n">
        <f aca="false">calc!$Z$305</f>
        <v>-4.88099771490685</v>
      </c>
      <c r="K305" s="16" t="n">
        <f aca="false">10*J305</f>
        <v>-48.8099771490684</v>
      </c>
      <c r="L305" s="6" t="str">
        <f aca="false">IF(ABS(H305-F305)/17.4&lt;1,(H305-F305)/17.4,"")</f>
        <v/>
      </c>
      <c r="M305" s="6" t="str">
        <f aca="false">IF(ABS(J305)/1.58&lt;1,J305/1.58/1.58,"")</f>
        <v/>
      </c>
      <c r="N305" s="6" t="str">
        <f aca="false">IF(OR(L305="",M305=""),"",ABS(L305)+ABS(M305))</f>
        <v/>
      </c>
      <c r="O305" s="3" t="str">
        <f aca="false">IF(OR(L305="",M305=""),"","SE?")</f>
        <v/>
      </c>
    </row>
    <row r="306" customFormat="false" ht="17" hidden="false" customHeight="true" outlineLevel="0" collapsed="false">
      <c r="C306" s="2" t="n">
        <f aca="false">L__B!$C$306</f>
        <v>1</v>
      </c>
      <c r="D306" s="2" t="n">
        <f aca="false">L__B!$D$306</f>
        <v>11</v>
      </c>
      <c r="E306" s="102" t="n">
        <f aca="false">L__B!$E$306</f>
        <v>305</v>
      </c>
      <c r="F306" s="103" t="n">
        <f aca="false">calc!$AN$306</f>
        <v>220.272632091977</v>
      </c>
      <c r="G306" s="103" t="n">
        <f aca="false">IF(ABS(F306-F305)&lt;100,F306,"")</f>
        <v>220.272632091977</v>
      </c>
      <c r="H306" s="16" t="n">
        <f aca="false">calc!$X$306</f>
        <v>304.92972033661</v>
      </c>
      <c r="I306" s="104" t="n">
        <f aca="false">IF(ABS(H306-H305)&lt;100,H306,"")</f>
        <v>304.92972033661</v>
      </c>
      <c r="J306" s="6" t="n">
        <f aca="false">calc!$Z$306</f>
        <v>-5.23070374100694</v>
      </c>
      <c r="K306" s="16" t="n">
        <f aca="false">10*J306</f>
        <v>-52.3070374100694</v>
      </c>
      <c r="L306" s="6" t="str">
        <f aca="false">IF(ABS(H306-F306)/17.4&lt;1,(H306-F306)/17.4,"")</f>
        <v/>
      </c>
      <c r="M306" s="6" t="str">
        <f aca="false">IF(ABS(J306)/1.58&lt;1,J306/1.58/1.58,"")</f>
        <v/>
      </c>
      <c r="N306" s="6" t="str">
        <f aca="false">IF(OR(L306="",M306=""),"",ABS(L306)+ABS(M306))</f>
        <v/>
      </c>
      <c r="O306" s="3" t="str">
        <f aca="false">IF(OR(L306="",M306=""),"","SE?")</f>
        <v/>
      </c>
    </row>
    <row r="307" customFormat="false" ht="17" hidden="false" customHeight="true" outlineLevel="0" collapsed="false">
      <c r="C307" s="2" t="n">
        <f aca="false">L__B!$C$307</f>
        <v>2</v>
      </c>
      <c r="D307" s="2" t="n">
        <f aca="false">L__B!$D$307</f>
        <v>11</v>
      </c>
      <c r="E307" s="102" t="n">
        <f aca="false">L__B!$E$307</f>
        <v>306</v>
      </c>
      <c r="F307" s="103" t="n">
        <f aca="false">calc!$AN$307</f>
        <v>221.258279455871</v>
      </c>
      <c r="G307" s="103" t="n">
        <f aca="false">IF(ABS(F307-F306)&lt;100,F307,"")</f>
        <v>221.258279455871</v>
      </c>
      <c r="H307" s="16" t="n">
        <f aca="false">calc!$X$307</f>
        <v>319.037634949126</v>
      </c>
      <c r="I307" s="104" t="n">
        <f aca="false">IF(ABS(H307-H306)&lt;100,H307,"")</f>
        <v>319.037634949126</v>
      </c>
      <c r="J307" s="6" t="n">
        <f aca="false">calc!$Z$307</f>
        <v>-5.26246556733462</v>
      </c>
      <c r="K307" s="16" t="n">
        <f aca="false">10*J307</f>
        <v>-52.6246556733462</v>
      </c>
      <c r="L307" s="6" t="str">
        <f aca="false">IF(ABS(H307-F307)/17.4&lt;1,(H307-F307)/17.4,"")</f>
        <v/>
      </c>
      <c r="M307" s="6" t="str">
        <f aca="false">IF(ABS(J307)/1.58&lt;1,J307/1.58/1.58,"")</f>
        <v/>
      </c>
      <c r="N307" s="6" t="str">
        <f aca="false">IF(OR(L307="",M307=""),"",ABS(L307)+ABS(M307))</f>
        <v/>
      </c>
      <c r="O307" s="3" t="str">
        <f aca="false">IF(OR(L307="",M307=""),"","SE?")</f>
        <v/>
      </c>
    </row>
    <row r="308" customFormat="false" ht="17" hidden="false" customHeight="true" outlineLevel="0" collapsed="false">
      <c r="C308" s="2" t="n">
        <f aca="false">L__B!$C$308</f>
        <v>3</v>
      </c>
      <c r="D308" s="2" t="n">
        <f aca="false">L__B!$D$308</f>
        <v>11</v>
      </c>
      <c r="E308" s="102" t="n">
        <f aca="false">L__B!$E$308</f>
        <v>307</v>
      </c>
      <c r="F308" s="103" t="n">
        <f aca="false">calc!$AN$308</f>
        <v>222.243926819767</v>
      </c>
      <c r="G308" s="103" t="n">
        <f aca="false">IF(ABS(F308-F307)&lt;100,F308,"")</f>
        <v>222.243926819767</v>
      </c>
      <c r="H308" s="16" t="n">
        <f aca="false">calc!$X$308</f>
        <v>333.008013325899</v>
      </c>
      <c r="I308" s="104" t="n">
        <f aca="false">IF(ABS(H308-H307)&lt;100,H308,"")</f>
        <v>333.008013325899</v>
      </c>
      <c r="J308" s="6" t="n">
        <f aca="false">calc!$Z$308</f>
        <v>-4.98278305906005</v>
      </c>
      <c r="K308" s="16" t="n">
        <f aca="false">10*J308</f>
        <v>-49.8278305906005</v>
      </c>
      <c r="L308" s="6" t="str">
        <f aca="false">IF(ABS(H308-F308)/17.4&lt;1,(H308-F308)/17.4,"")</f>
        <v/>
      </c>
      <c r="M308" s="6" t="str">
        <f aca="false">IF(ABS(J308)/1.58&lt;1,J308/1.58/1.58,"")</f>
        <v/>
      </c>
      <c r="N308" s="6" t="str">
        <f aca="false">IF(OR(L308="",M308=""),"",ABS(L308)+ABS(M308))</f>
        <v/>
      </c>
      <c r="O308" s="3" t="str">
        <f aca="false">IF(OR(L308="",M308=""),"","SE?")</f>
        <v/>
      </c>
    </row>
    <row r="309" customFormat="false" ht="17" hidden="false" customHeight="true" outlineLevel="0" collapsed="false">
      <c r="C309" s="2" t="n">
        <f aca="false">L__B!$C$309</f>
        <v>4</v>
      </c>
      <c r="D309" s="2" t="n">
        <f aca="false">L__B!$D$309</f>
        <v>11</v>
      </c>
      <c r="E309" s="102" t="n">
        <f aca="false">L__B!$E$309</f>
        <v>308</v>
      </c>
      <c r="F309" s="103" t="n">
        <f aca="false">calc!$AN$309</f>
        <v>223.229574183662</v>
      </c>
      <c r="G309" s="103" t="n">
        <f aca="false">IF(ABS(F309-F308)&lt;100,F309,"")</f>
        <v>223.229574183662</v>
      </c>
      <c r="H309" s="16" t="n">
        <f aca="false">calc!$X$309</f>
        <v>346.821831796472</v>
      </c>
      <c r="I309" s="104" t="n">
        <f aca="false">IF(ABS(H309-H308)&lt;100,H309,"")</f>
        <v>346.821831796472</v>
      </c>
      <c r="J309" s="6" t="n">
        <f aca="false">calc!$Z$309</f>
        <v>-4.41725873459038</v>
      </c>
      <c r="K309" s="16" t="n">
        <f aca="false">10*J309</f>
        <v>-44.1725873459038</v>
      </c>
      <c r="L309" s="6" t="str">
        <f aca="false">IF(ABS(H309-F309)/17.4&lt;1,(H309-F309)/17.4,"")</f>
        <v/>
      </c>
      <c r="M309" s="6" t="str">
        <f aca="false">IF(ABS(J309)/1.58&lt;1,J309/1.58/1.58,"")</f>
        <v/>
      </c>
      <c r="N309" s="6" t="str">
        <f aca="false">IF(OR(L309="",M309=""),"",ABS(L309)+ABS(M309))</f>
        <v/>
      </c>
      <c r="O309" s="3" t="str">
        <f aca="false">IF(OR(L309="",M309=""),"","SE?")</f>
        <v/>
      </c>
    </row>
    <row r="310" customFormat="false" ht="17" hidden="false" customHeight="true" outlineLevel="0" collapsed="false">
      <c r="C310" s="2" t="n">
        <f aca="false">L__B!$C$310</f>
        <v>5</v>
      </c>
      <c r="D310" s="2" t="n">
        <f aca="false">L__B!$D$310</f>
        <v>11</v>
      </c>
      <c r="E310" s="102" t="n">
        <f aca="false">L__B!$E$310</f>
        <v>309</v>
      </c>
      <c r="F310" s="103" t="n">
        <f aca="false">calc!$AN$310</f>
        <v>224.215221547558</v>
      </c>
      <c r="G310" s="103" t="n">
        <f aca="false">IF(ABS(F310-F309)&lt;100,F310,"")</f>
        <v>224.215221547558</v>
      </c>
      <c r="H310" s="16" t="n">
        <f aca="false">calc!$X$310</f>
        <v>0.459921897918694</v>
      </c>
      <c r="I310" s="104" t="str">
        <f aca="false">IF(ABS(H310-H309)&lt;100,H310,"")</f>
        <v/>
      </c>
      <c r="J310" s="6" t="n">
        <f aca="false">calc!$Z$310</f>
        <v>-3.60778527652392</v>
      </c>
      <c r="K310" s="16" t="n">
        <f aca="false">10*J310</f>
        <v>-36.0778527652392</v>
      </c>
      <c r="L310" s="6" t="str">
        <f aca="false">IF(ABS(H310-F310)/17.4&lt;1,(H310-F310)/17.4,"")</f>
        <v/>
      </c>
      <c r="M310" s="6" t="str">
        <f aca="false">IF(ABS(J310)/1.58&lt;1,J310/1.58/1.58,"")</f>
        <v/>
      </c>
      <c r="N310" s="6" t="str">
        <f aca="false">IF(OR(L310="",M310=""),"",ABS(L310)+ABS(M310))</f>
        <v/>
      </c>
      <c r="O310" s="3" t="str">
        <f aca="false">IF(OR(L310="",M310=""),"","SE?")</f>
        <v/>
      </c>
    </row>
    <row r="311" customFormat="false" ht="17" hidden="false" customHeight="true" outlineLevel="0" collapsed="false">
      <c r="C311" s="2" t="n">
        <f aca="false">L__B!$C$311</f>
        <v>6</v>
      </c>
      <c r="D311" s="2" t="n">
        <f aca="false">L__B!$D$311</f>
        <v>11</v>
      </c>
      <c r="E311" s="102" t="n">
        <f aca="false">L__B!$E$311</f>
        <v>310</v>
      </c>
      <c r="F311" s="103" t="n">
        <f aca="false">calc!$AN$311</f>
        <v>225.200868911454</v>
      </c>
      <c r="G311" s="103" t="n">
        <f aca="false">IF(ABS(F311-F310)&lt;100,F311,"")</f>
        <v>225.200868911454</v>
      </c>
      <c r="H311" s="16" t="n">
        <f aca="false">calc!$X$311</f>
        <v>13.9011948548608</v>
      </c>
      <c r="I311" s="104" t="n">
        <f aca="false">IF(ABS(H311-H310)&lt;100,H311,"")</f>
        <v>13.9011948548608</v>
      </c>
      <c r="J311" s="6" t="n">
        <f aca="false">calc!$Z$311</f>
        <v>-2.60922494694491</v>
      </c>
      <c r="K311" s="16" t="n">
        <f aca="false">10*J311</f>
        <v>-26.0922494694491</v>
      </c>
      <c r="L311" s="6" t="str">
        <f aca="false">IF(ABS(H311-F311)/17.4&lt;1,(H311-F311)/17.4,"")</f>
        <v/>
      </c>
      <c r="M311" s="6" t="str">
        <f aca="false">IF(ABS(J311)/1.58&lt;1,J311/1.58/1.58,"")</f>
        <v/>
      </c>
      <c r="N311" s="6" t="str">
        <f aca="false">IF(OR(L311="",M311=""),"",ABS(L311)+ABS(M311))</f>
        <v/>
      </c>
      <c r="O311" s="3" t="str">
        <f aca="false">IF(OR(L311="",M311=""),"","SE?")</f>
        <v/>
      </c>
    </row>
    <row r="312" customFormat="false" ht="17" hidden="false" customHeight="true" outlineLevel="0" collapsed="false">
      <c r="C312" s="2" t="n">
        <f aca="false">L__B!$C$312</f>
        <v>7</v>
      </c>
      <c r="D312" s="2" t="n">
        <f aca="false">L__B!$D$312</f>
        <v>11</v>
      </c>
      <c r="E312" s="102" t="n">
        <f aca="false">L__B!$E$312</f>
        <v>311</v>
      </c>
      <c r="F312" s="103" t="n">
        <f aca="false">calc!$AN$312</f>
        <v>226.186516275351</v>
      </c>
      <c r="G312" s="103" t="n">
        <f aca="false">IF(ABS(F312-F311)&lt;100,F312,"")</f>
        <v>226.186516275351</v>
      </c>
      <c r="H312" s="16" t="n">
        <f aca="false">calc!$X$312</f>
        <v>27.1244276443721</v>
      </c>
      <c r="I312" s="104" t="n">
        <f aca="false">IF(ABS(H312-H311)&lt;100,H312,"")</f>
        <v>27.1244276443721</v>
      </c>
      <c r="J312" s="6" t="n">
        <f aca="false">calc!$Z$312</f>
        <v>-1.48513794857658</v>
      </c>
      <c r="K312" s="16" t="n">
        <f aca="false">10*J312</f>
        <v>-14.8513794857658</v>
      </c>
      <c r="L312" s="6" t="str">
        <f aca="false">IF(ABS(H312-F312)/17.4&lt;1,(H312-F312)/17.4,"")</f>
        <v/>
      </c>
      <c r="M312" s="6" t="n">
        <f aca="false">IF(ABS(J312)/1.58&lt;1,J312/1.58/1.58,"")</f>
        <v>-0.594911852498229</v>
      </c>
      <c r="N312" s="6" t="str">
        <f aca="false">IF(OR(L312="",M312=""),"",ABS(L312)+ABS(M312))</f>
        <v/>
      </c>
      <c r="O312" s="3" t="str">
        <f aca="false">IF(OR(L312="",M312=""),"","SE?")</f>
        <v/>
      </c>
    </row>
    <row r="313" customFormat="false" ht="17" hidden="false" customHeight="true" outlineLevel="0" collapsed="false">
      <c r="C313" s="2" t="n">
        <f aca="false">L__B!$C$313</f>
        <v>8</v>
      </c>
      <c r="D313" s="2" t="n">
        <f aca="false">L__B!$D$313</f>
        <v>11</v>
      </c>
      <c r="E313" s="102" t="n">
        <f aca="false">L__B!$E$313</f>
        <v>312</v>
      </c>
      <c r="F313" s="103" t="n">
        <f aca="false">calc!$AN$313</f>
        <v>227.172163639249</v>
      </c>
      <c r="G313" s="103" t="n">
        <f aca="false">IF(ABS(F313-F312)&lt;100,F313,"")</f>
        <v>227.172163639249</v>
      </c>
      <c r="H313" s="16" t="n">
        <f aca="false">calc!$X$313</f>
        <v>40.1127158393476</v>
      </c>
      <c r="I313" s="104" t="n">
        <f aca="false">IF(ABS(H313-H312)&lt;100,H313,"")</f>
        <v>40.1127158393476</v>
      </c>
      <c r="J313" s="6" t="n">
        <f aca="false">calc!$Z$313</f>
        <v>-0.302534309950928</v>
      </c>
      <c r="K313" s="16" t="n">
        <f aca="false">10*J313</f>
        <v>-3.02534309950928</v>
      </c>
      <c r="L313" s="6" t="str">
        <f aca="false">IF(ABS(H313-F313)/17.4&lt;1,(H313-F313)/17.4,"")</f>
        <v/>
      </c>
      <c r="M313" s="6" t="n">
        <f aca="false">IF(ABS(J313)/1.58&lt;1,J313/1.58/1.58,"")</f>
        <v>-0.121188235038827</v>
      </c>
      <c r="N313" s="6" t="str">
        <f aca="false">IF(OR(L313="",M313=""),"",ABS(L313)+ABS(M313))</f>
        <v/>
      </c>
      <c r="O313" s="3" t="str">
        <f aca="false">IF(OR(L313="",M313=""),"","SE?")</f>
        <v/>
      </c>
    </row>
    <row r="314" customFormat="false" ht="17" hidden="false" customHeight="true" outlineLevel="0" collapsed="false">
      <c r="C314" s="2" t="n">
        <f aca="false">L__B!$C$314</f>
        <v>9</v>
      </c>
      <c r="D314" s="2" t="n">
        <f aca="false">L__B!$D$314</f>
        <v>11</v>
      </c>
      <c r="E314" s="102" t="n">
        <f aca="false">L__B!$E$314</f>
        <v>313</v>
      </c>
      <c r="F314" s="103" t="n">
        <f aca="false">calc!$AN$314</f>
        <v>228.157811003146</v>
      </c>
      <c r="G314" s="103" t="n">
        <f aca="false">IF(ABS(F314-F313)&lt;100,F314,"")</f>
        <v>228.157811003146</v>
      </c>
      <c r="H314" s="16" t="n">
        <f aca="false">calc!$X$314</f>
        <v>52.8587064772991</v>
      </c>
      <c r="I314" s="104" t="n">
        <f aca="false">IF(ABS(H314-H313)&lt;100,H314,"")</f>
        <v>52.8587064772991</v>
      </c>
      <c r="J314" s="6" t="n">
        <f aca="false">calc!$Z$314</f>
        <v>0.873659560287865</v>
      </c>
      <c r="K314" s="16" t="n">
        <f aca="false">10*J314</f>
        <v>8.73659560287865</v>
      </c>
      <c r="L314" s="6" t="str">
        <f aca="false">IF(ABS(H314-F314)/17.4&lt;1,(H314-F314)/17.4,"")</f>
        <v/>
      </c>
      <c r="M314" s="6" t="n">
        <f aca="false">IF(ABS(J314)/1.58&lt;1,J314/1.58/1.58,"")</f>
        <v>0.349967777715056</v>
      </c>
      <c r="N314" s="6" t="str">
        <f aca="false">IF(OR(L314="",M314=""),"",ABS(L314)+ABS(M314))</f>
        <v/>
      </c>
      <c r="O314" s="3" t="str">
        <f aca="false">IF(OR(L314="",M314=""),"","SE?")</f>
        <v/>
      </c>
    </row>
    <row r="315" customFormat="false" ht="17" hidden="false" customHeight="true" outlineLevel="0" collapsed="false">
      <c r="C315" s="2" t="n">
        <f aca="false">L__B!$C$315</f>
        <v>10</v>
      </c>
      <c r="D315" s="2" t="n">
        <f aca="false">L__B!$D$315</f>
        <v>11</v>
      </c>
      <c r="E315" s="102" t="n">
        <f aca="false">L__B!$E$315</f>
        <v>314</v>
      </c>
      <c r="F315" s="103" t="n">
        <f aca="false">calc!$AN$315</f>
        <v>229.143458367045</v>
      </c>
      <c r="G315" s="103" t="n">
        <f aca="false">IF(ABS(F315-F314)&lt;100,F315,"")</f>
        <v>229.143458367045</v>
      </c>
      <c r="H315" s="16" t="n">
        <f aca="false">calc!$X$315</f>
        <v>65.3685819827796</v>
      </c>
      <c r="I315" s="104" t="n">
        <f aca="false">IF(ABS(H315-H314)&lt;100,H315,"")</f>
        <v>65.3685819827796</v>
      </c>
      <c r="J315" s="6" t="n">
        <f aca="false">calc!$Z$315</f>
        <v>1.98529839576314</v>
      </c>
      <c r="K315" s="16" t="n">
        <f aca="false">10*J315</f>
        <v>19.8529839576314</v>
      </c>
      <c r="L315" s="6" t="str">
        <f aca="false">IF(ABS(H315-F315)/17.4&lt;1,(H315-F315)/17.4,"")</f>
        <v/>
      </c>
      <c r="M315" s="6" t="str">
        <f aca="false">IF(ABS(J315)/1.58&lt;1,J315/1.58/1.58,"")</f>
        <v/>
      </c>
      <c r="N315" s="6" t="str">
        <f aca="false">IF(OR(L315="",M315=""),"",ABS(L315)+ABS(M315))</f>
        <v/>
      </c>
      <c r="O315" s="3" t="str">
        <f aca="false">IF(OR(L315="",M315=""),"","SE?")</f>
        <v/>
      </c>
    </row>
    <row r="316" customFormat="false" ht="17" hidden="false" customHeight="true" outlineLevel="0" collapsed="false">
      <c r="C316" s="2" t="n">
        <f aca="false">L__B!$C$316</f>
        <v>11</v>
      </c>
      <c r="D316" s="2" t="n">
        <f aca="false">L__B!$D$316</f>
        <v>11</v>
      </c>
      <c r="E316" s="102" t="n">
        <f aca="false">L__B!$E$316</f>
        <v>315</v>
      </c>
      <c r="F316" s="103" t="n">
        <f aca="false">calc!$AN$316</f>
        <v>230.129105730946</v>
      </c>
      <c r="G316" s="103" t="n">
        <f aca="false">IF(ABS(F316-F315)&lt;100,F316,"")</f>
        <v>230.129105730946</v>
      </c>
      <c r="H316" s="16" t="n">
        <f aca="false">calc!$X$316</f>
        <v>77.6634749742622</v>
      </c>
      <c r="I316" s="104" t="n">
        <f aca="false">IF(ABS(H316-H315)&lt;100,H316,"")</f>
        <v>77.6634749742622</v>
      </c>
      <c r="J316" s="6" t="n">
        <f aca="false">calc!$Z$316</f>
        <v>2.98393989014156</v>
      </c>
      <c r="K316" s="16" t="n">
        <f aca="false">10*J316</f>
        <v>29.8393989014156</v>
      </c>
      <c r="L316" s="6" t="str">
        <f aca="false">IF(ABS(H316-F316)/17.4&lt;1,(H316-F316)/17.4,"")</f>
        <v/>
      </c>
      <c r="M316" s="6" t="str">
        <f aca="false">IF(ABS(J316)/1.58&lt;1,J316/1.58/1.58,"")</f>
        <v/>
      </c>
      <c r="N316" s="6" t="str">
        <f aca="false">IF(OR(L316="",M316=""),"",ABS(L316)+ABS(M316))</f>
        <v/>
      </c>
      <c r="O316" s="3" t="str">
        <f aca="false">IF(OR(L316="",M316=""),"","SE?")</f>
        <v/>
      </c>
    </row>
    <row r="317" customFormat="false" ht="17" hidden="false" customHeight="true" outlineLevel="0" collapsed="false">
      <c r="C317" s="2" t="n">
        <f aca="false">L__B!$C$317</f>
        <v>12</v>
      </c>
      <c r="D317" s="2" t="n">
        <f aca="false">L__B!$D$317</f>
        <v>11</v>
      </c>
      <c r="E317" s="102" t="n">
        <f aca="false">L__B!$E$317</f>
        <v>316</v>
      </c>
      <c r="F317" s="103" t="n">
        <f aca="false">calc!$AN$317</f>
        <v>231.114753094846</v>
      </c>
      <c r="G317" s="103" t="n">
        <f aca="false">IF(ABS(F317-F316)&lt;100,F317,"")</f>
        <v>231.114753094846</v>
      </c>
      <c r="H317" s="16" t="n">
        <f aca="false">calc!$X$317</f>
        <v>89.7781946684229</v>
      </c>
      <c r="I317" s="104" t="n">
        <f aca="false">IF(ABS(H317-H316)&lt;100,H317,"")</f>
        <v>89.7781946684229</v>
      </c>
      <c r="J317" s="6" t="n">
        <f aca="false">calc!$Z$317</f>
        <v>3.83170292490891</v>
      </c>
      <c r="K317" s="16" t="n">
        <f aca="false">10*J317</f>
        <v>38.3170292490891</v>
      </c>
      <c r="L317" s="6" t="str">
        <f aca="false">IF(ABS(H317-F317)/17.4&lt;1,(H317-F317)/17.4,"")</f>
        <v/>
      </c>
      <c r="M317" s="6" t="str">
        <f aca="false">IF(ABS(J317)/1.58&lt;1,J317/1.58/1.58,"")</f>
        <v/>
      </c>
      <c r="N317" s="6" t="str">
        <f aca="false">IF(OR(L317="",M317=""),"",ABS(L317)+ABS(M317))</f>
        <v/>
      </c>
      <c r="O317" s="3" t="str">
        <f aca="false">IF(OR(L317="",M317=""),"","SE?")</f>
        <v/>
      </c>
    </row>
    <row r="318" customFormat="false" ht="17" hidden="false" customHeight="true" outlineLevel="0" collapsed="false">
      <c r="C318" s="2" t="n">
        <f aca="false">L__B!$C$318</f>
        <v>13</v>
      </c>
      <c r="D318" s="2" t="n">
        <f aca="false">L__B!$D$318</f>
        <v>11</v>
      </c>
      <c r="E318" s="102" t="n">
        <f aca="false">L__B!$E$318</f>
        <v>317</v>
      </c>
      <c r="F318" s="103" t="n">
        <f aca="false">calc!$AN$318</f>
        <v>232.100400458743</v>
      </c>
      <c r="G318" s="103" t="n">
        <f aca="false">IF(ABS(F318-F317)&lt;100,F318,"")</f>
        <v>232.100400458743</v>
      </c>
      <c r="H318" s="16" t="n">
        <f aca="false">calc!$X$318</f>
        <v>101.758280198633</v>
      </c>
      <c r="I318" s="104" t="n">
        <f aca="false">IF(ABS(H318-H317)&lt;100,H318,"")</f>
        <v>101.758280198633</v>
      </c>
      <c r="J318" s="6" t="n">
        <f aca="false">calc!$Z$318</f>
        <v>4.50046322890944</v>
      </c>
      <c r="K318" s="16" t="n">
        <f aca="false">10*J318</f>
        <v>45.0046322890944</v>
      </c>
      <c r="L318" s="6" t="str">
        <f aca="false">IF(ABS(H318-F318)/17.4&lt;1,(H318-F318)/17.4,"")</f>
        <v/>
      </c>
      <c r="M318" s="6" t="str">
        <f aca="false">IF(ABS(J318)/1.58&lt;1,J318/1.58/1.58,"")</f>
        <v/>
      </c>
      <c r="N318" s="6" t="str">
        <f aca="false">IF(OR(L318="",M318=""),"",ABS(L318)+ABS(M318))</f>
        <v/>
      </c>
      <c r="O318" s="3" t="str">
        <f aca="false">IF(OR(L318="",M318=""),"","SE?")</f>
        <v/>
      </c>
    </row>
    <row r="319" customFormat="false" ht="17" hidden="false" customHeight="true" outlineLevel="0" collapsed="false">
      <c r="C319" s="2" t="n">
        <f aca="false">L__B!$C$319</f>
        <v>14</v>
      </c>
      <c r="D319" s="2" t="n">
        <f aca="false">L__B!$D$319</f>
        <v>11</v>
      </c>
      <c r="E319" s="102" t="n">
        <f aca="false">L__B!$E$319</f>
        <v>318</v>
      </c>
      <c r="F319" s="103" t="n">
        <f aca="false">calc!$AN$319</f>
        <v>233.086047822644</v>
      </c>
      <c r="G319" s="103" t="n">
        <f aca="false">IF(ABS(F319-F318)&lt;100,F319,"")</f>
        <v>233.086047822644</v>
      </c>
      <c r="H319" s="16" t="n">
        <f aca="false">calc!$X$319</f>
        <v>113.656950517396</v>
      </c>
      <c r="I319" s="104" t="n">
        <f aca="false">IF(ABS(H319-H318)&lt;100,H319,"")</f>
        <v>113.656950517396</v>
      </c>
      <c r="J319" s="6" t="n">
        <f aca="false">calc!$Z$319</f>
        <v>4.97014765067921</v>
      </c>
      <c r="K319" s="16" t="n">
        <f aca="false">10*J319</f>
        <v>49.7014765067921</v>
      </c>
      <c r="L319" s="6" t="str">
        <f aca="false">IF(ABS(H319-F319)/17.4&lt;1,(H319-F319)/17.4,"")</f>
        <v/>
      </c>
      <c r="M319" s="6" t="str">
        <f aca="false">IF(ABS(J319)/1.58&lt;1,J319/1.58/1.58,"")</f>
        <v/>
      </c>
      <c r="N319" s="6" t="str">
        <f aca="false">IF(OR(L319="",M319=""),"",ABS(L319)+ABS(M319))</f>
        <v/>
      </c>
      <c r="O319" s="3" t="str">
        <f aca="false">IF(OR(L319="",M319=""),"","SE?")</f>
        <v/>
      </c>
    </row>
    <row r="320" customFormat="false" ht="17" hidden="false" customHeight="true" outlineLevel="0" collapsed="false">
      <c r="C320" s="2" t="n">
        <f aca="false">L__B!$C$320</f>
        <v>15</v>
      </c>
      <c r="D320" s="2" t="n">
        <f aca="false">L__B!$D$320</f>
        <v>11</v>
      </c>
      <c r="E320" s="102" t="n">
        <f aca="false">L__B!$E$320</f>
        <v>319</v>
      </c>
      <c r="F320" s="103" t="n">
        <f aca="false">calc!$AN$320</f>
        <v>234.071695186545</v>
      </c>
      <c r="G320" s="103" t="n">
        <f aca="false">IF(ABS(F320-F319)&lt;100,F320,"")</f>
        <v>234.071695186545</v>
      </c>
      <c r="H320" s="16" t="n">
        <f aca="false">calc!$X$320</f>
        <v>125.533248792225</v>
      </c>
      <c r="I320" s="104" t="n">
        <f aca="false">IF(ABS(H320-H319)&lt;100,H320,"")</f>
        <v>125.533248792225</v>
      </c>
      <c r="J320" s="6" t="n">
        <f aca="false">calc!$Z$320</f>
        <v>5.22685332577956</v>
      </c>
      <c r="K320" s="16" t="n">
        <f aca="false">10*J320</f>
        <v>52.2685332577956</v>
      </c>
      <c r="L320" s="6" t="str">
        <f aca="false">IF(ABS(H320-F320)/17.4&lt;1,(H320-F320)/17.4,"")</f>
        <v/>
      </c>
      <c r="M320" s="6" t="str">
        <f aca="false">IF(ABS(J320)/1.58&lt;1,J320/1.58/1.58,"")</f>
        <v/>
      </c>
      <c r="N320" s="6" t="str">
        <f aca="false">IF(OR(L320="",M320=""),"",ABS(L320)+ABS(M320))</f>
        <v/>
      </c>
      <c r="O320" s="3" t="str">
        <f aca="false">IF(OR(L320="",M320=""),"","SE?")</f>
        <v/>
      </c>
    </row>
    <row r="321" customFormat="false" ht="17" hidden="false" customHeight="true" outlineLevel="0" collapsed="false">
      <c r="C321" s="2" t="n">
        <f aca="false">L__B!$C$321</f>
        <v>16</v>
      </c>
      <c r="D321" s="2" t="n">
        <f aca="false">L__B!$D$321</f>
        <v>11</v>
      </c>
      <c r="E321" s="102" t="n">
        <f aca="false">L__B!$E$321</f>
        <v>320</v>
      </c>
      <c r="F321" s="103" t="n">
        <f aca="false">calc!$AN$321</f>
        <v>235.057342550444</v>
      </c>
      <c r="G321" s="103" t="n">
        <f aca="false">IF(ABS(F321-F320)&lt;100,F321,"")</f>
        <v>235.057342550444</v>
      </c>
      <c r="H321" s="16" t="n">
        <f aca="false">calc!$X$321</f>
        <v>137.451712371133</v>
      </c>
      <c r="I321" s="104" t="n">
        <f aca="false">IF(ABS(H321-H320)&lt;100,H321,"")</f>
        <v>137.451712371133</v>
      </c>
      <c r="J321" s="6" t="n">
        <f aca="false">calc!$Z$321</f>
        <v>5.26128639995129</v>
      </c>
      <c r="K321" s="16" t="n">
        <f aca="false">10*J321</f>
        <v>52.6128639995129</v>
      </c>
      <c r="L321" s="6" t="str">
        <f aca="false">IF(ABS(H321-F321)/17.4&lt;1,(H321-F321)/17.4,"")</f>
        <v/>
      </c>
      <c r="M321" s="6" t="str">
        <f aca="false">IF(ABS(J321)/1.58&lt;1,J321/1.58/1.58,"")</f>
        <v/>
      </c>
      <c r="N321" s="6" t="str">
        <f aca="false">IF(OR(L321="",M321=""),"",ABS(L321)+ABS(M321))</f>
        <v/>
      </c>
      <c r="O321" s="3" t="str">
        <f aca="false">IF(OR(L321="",M321=""),"","SE?")</f>
        <v/>
      </c>
    </row>
    <row r="322" customFormat="false" ht="17" hidden="false" customHeight="true" outlineLevel="0" collapsed="false">
      <c r="C322" s="2" t="n">
        <f aca="false">L__B!$C$322</f>
        <v>17</v>
      </c>
      <c r="D322" s="2" t="n">
        <f aca="false">L__B!$D$322</f>
        <v>11</v>
      </c>
      <c r="E322" s="102" t="n">
        <f aca="false">L__B!$E$322</f>
        <v>321</v>
      </c>
      <c r="F322" s="103" t="n">
        <f aca="false">calc!$AN$322</f>
        <v>236.042989914347</v>
      </c>
      <c r="G322" s="103" t="n">
        <f aca="false">IF(ABS(F322-F321)&lt;100,F322,"")</f>
        <v>236.042989914347</v>
      </c>
      <c r="H322" s="16" t="n">
        <f aca="false">calc!$X$322</f>
        <v>149.482692483686</v>
      </c>
      <c r="I322" s="104" t="n">
        <f aca="false">IF(ABS(H322-H321)&lt;100,H322,"")</f>
        <v>149.482692483686</v>
      </c>
      <c r="J322" s="6" t="n">
        <f aca="false">calc!$Z$322</f>
        <v>5.06784368971004</v>
      </c>
      <c r="K322" s="16" t="n">
        <f aca="false">10*J322</f>
        <v>50.6784368971004</v>
      </c>
      <c r="L322" s="6" t="str">
        <f aca="false">IF(ABS(H322-F322)/17.4&lt;1,(H322-F322)/17.4,"")</f>
        <v/>
      </c>
      <c r="M322" s="6" t="str">
        <f aca="false">IF(ABS(J322)/1.58&lt;1,J322/1.58/1.58,"")</f>
        <v/>
      </c>
      <c r="N322" s="6" t="str">
        <f aca="false">IF(OR(L322="",M322=""),"",ABS(L322)+ABS(M322))</f>
        <v/>
      </c>
      <c r="O322" s="3" t="str">
        <f aca="false">IF(OR(L322="",M322=""),"","SE?")</f>
        <v/>
      </c>
    </row>
    <row r="323" customFormat="false" ht="17" hidden="false" customHeight="true" outlineLevel="0" collapsed="false">
      <c r="C323" s="2" t="n">
        <f aca="false">L__B!$C$323</f>
        <v>18</v>
      </c>
      <c r="D323" s="2" t="n">
        <f aca="false">L__B!$D$323</f>
        <v>11</v>
      </c>
      <c r="E323" s="102" t="n">
        <f aca="false">L__B!$E$323</f>
        <v>322</v>
      </c>
      <c r="F323" s="103" t="n">
        <f aca="false">calc!$AN$323</f>
        <v>237.028637278248</v>
      </c>
      <c r="G323" s="103" t="n">
        <f aca="false">IF(ABS(F323-F322)&lt;100,F323,"")</f>
        <v>237.028637278248</v>
      </c>
      <c r="H323" s="16" t="n">
        <f aca="false">calc!$X$323</f>
        <v>161.701585993357</v>
      </c>
      <c r="I323" s="104" t="n">
        <f aca="false">IF(ABS(H323-H322)&lt;100,H323,"")</f>
        <v>161.701585993357</v>
      </c>
      <c r="J323" s="6" t="n">
        <f aca="false">calc!$Z$323</f>
        <v>4.64466565311599</v>
      </c>
      <c r="K323" s="16" t="n">
        <f aca="false">10*J323</f>
        <v>46.4466565311599</v>
      </c>
      <c r="L323" s="6" t="str">
        <f aca="false">IF(ABS(H323-F323)/17.4&lt;1,(H323-F323)/17.4,"")</f>
        <v/>
      </c>
      <c r="M323" s="6" t="str">
        <f aca="false">IF(ABS(J323)/1.58&lt;1,J323/1.58/1.58,"")</f>
        <v/>
      </c>
      <c r="N323" s="6" t="str">
        <f aca="false">IF(OR(L323="",M323=""),"",ABS(L323)+ABS(M323))</f>
        <v/>
      </c>
      <c r="O323" s="3" t="str">
        <f aca="false">IF(OR(L323="",M323=""),"","SE?")</f>
        <v/>
      </c>
    </row>
    <row r="324" customFormat="false" ht="17" hidden="false" customHeight="true" outlineLevel="0" collapsed="false">
      <c r="C324" s="2" t="n">
        <f aca="false">L__B!$C$324</f>
        <v>19</v>
      </c>
      <c r="D324" s="2" t="n">
        <f aca="false">L__B!$D$324</f>
        <v>11</v>
      </c>
      <c r="E324" s="102" t="n">
        <f aca="false">L__B!$E$324</f>
        <v>323</v>
      </c>
      <c r="F324" s="103" t="n">
        <f aca="false">calc!$AN$324</f>
        <v>238.014284642153</v>
      </c>
      <c r="G324" s="103" t="n">
        <f aca="false">IF(ABS(F324-F323)&lt;100,F324,"")</f>
        <v>238.014284642153</v>
      </c>
      <c r="H324" s="16" t="n">
        <f aca="false">calc!$X$324</f>
        <v>174.185185669329</v>
      </c>
      <c r="I324" s="104" t="n">
        <f aca="false">IF(ABS(H324-H323)&lt;100,H324,"")</f>
        <v>174.185185669329</v>
      </c>
      <c r="J324" s="6" t="n">
        <f aca="false">calc!$Z$324</f>
        <v>3.99506772715678</v>
      </c>
      <c r="K324" s="16" t="n">
        <f aca="false">10*J324</f>
        <v>39.9506772715678</v>
      </c>
      <c r="L324" s="6" t="str">
        <f aca="false">IF(ABS(H324-F324)/17.4&lt;1,(H324-F324)/17.4,"")</f>
        <v/>
      </c>
      <c r="M324" s="6" t="str">
        <f aca="false">IF(ABS(J324)/1.58&lt;1,J324/1.58/1.58,"")</f>
        <v/>
      </c>
      <c r="N324" s="6" t="str">
        <f aca="false">IF(OR(L324="",M324=""),"",ABS(L324)+ABS(M324))</f>
        <v/>
      </c>
      <c r="O324" s="3" t="str">
        <f aca="false">IF(OR(L324="",M324=""),"","SE?")</f>
        <v/>
      </c>
    </row>
    <row r="325" customFormat="false" ht="17" hidden="false" customHeight="true" outlineLevel="0" collapsed="false">
      <c r="C325" s="2" t="n">
        <f aca="false">L__B!$C$325</f>
        <v>20</v>
      </c>
      <c r="D325" s="2" t="n">
        <f aca="false">L__B!$D$325</f>
        <v>11</v>
      </c>
      <c r="E325" s="102" t="n">
        <f aca="false">L__B!$E$325</f>
        <v>324</v>
      </c>
      <c r="F325" s="103" t="n">
        <f aca="false">calc!$AN$325</f>
        <v>238.999932006054</v>
      </c>
      <c r="G325" s="103" t="n">
        <f aca="false">IF(ABS(F325-F324)&lt;100,F325,"")</f>
        <v>238.999932006054</v>
      </c>
      <c r="H325" s="16" t="n">
        <f aca="false">calc!$X$325</f>
        <v>187.004234181886</v>
      </c>
      <c r="I325" s="104" t="n">
        <f aca="false">IF(ABS(H325-H324)&lt;100,H325,"")</f>
        <v>187.004234181886</v>
      </c>
      <c r="J325" s="6" t="n">
        <f aca="false">calc!$Z$325</f>
        <v>3.13065461451838</v>
      </c>
      <c r="K325" s="16" t="n">
        <f aca="false">10*J325</f>
        <v>31.3065461451838</v>
      </c>
      <c r="L325" s="6" t="str">
        <f aca="false">IF(ABS(H325-F325)/17.4&lt;1,(H325-F325)/17.4,"")</f>
        <v/>
      </c>
      <c r="M325" s="6" t="str">
        <f aca="false">IF(ABS(J325)/1.58&lt;1,J325/1.58/1.58,"")</f>
        <v/>
      </c>
      <c r="N325" s="6" t="str">
        <f aca="false">IF(OR(L325="",M325=""),"",ABS(L325)+ABS(M325))</f>
        <v/>
      </c>
      <c r="O325" s="3" t="str">
        <f aca="false">IF(OR(L325="",M325=""),"","SE?")</f>
        <v/>
      </c>
    </row>
    <row r="326" customFormat="false" ht="17" hidden="false" customHeight="true" outlineLevel="0" collapsed="false">
      <c r="C326" s="2" t="n">
        <f aca="false">L__B!$C$326</f>
        <v>21</v>
      </c>
      <c r="D326" s="2" t="n">
        <f aca="false">L__B!$D$326</f>
        <v>11</v>
      </c>
      <c r="E326" s="102" t="n">
        <f aca="false">L__B!$E$326</f>
        <v>325</v>
      </c>
      <c r="F326" s="103" t="n">
        <f aca="false">calc!$AN$326</f>
        <v>239.985579369959</v>
      </c>
      <c r="G326" s="103" t="n">
        <f aca="false">IF(ABS(F326-F325)&lt;100,F326,"")</f>
        <v>239.985579369959</v>
      </c>
      <c r="H326" s="16" t="n">
        <f aca="false">calc!$X$326</f>
        <v>200.212803470833</v>
      </c>
      <c r="I326" s="104" t="n">
        <f aca="false">IF(ABS(H326-H325)&lt;100,H326,"")</f>
        <v>200.212803470833</v>
      </c>
      <c r="J326" s="6" t="n">
        <f aca="false">calc!$Z$326</f>
        <v>2.07589954900839</v>
      </c>
      <c r="K326" s="16" t="n">
        <f aca="false">10*J326</f>
        <v>20.7589954900839</v>
      </c>
      <c r="L326" s="6" t="str">
        <f aca="false">IF(ABS(H326-F326)/17.4&lt;1,(H326-F326)/17.4,"")</f>
        <v/>
      </c>
      <c r="M326" s="6" t="str">
        <f aca="false">IF(ABS(J326)/1.58&lt;1,J326/1.58/1.58,"")</f>
        <v/>
      </c>
      <c r="N326" s="6" t="str">
        <f aca="false">IF(OR(L326="",M326=""),"",ABS(L326)+ABS(M326))</f>
        <v/>
      </c>
      <c r="O326" s="3" t="str">
        <f aca="false">IF(OR(L326="",M326=""),"","SE?")</f>
        <v/>
      </c>
    </row>
    <row r="327" customFormat="false" ht="17" hidden="false" customHeight="true" outlineLevel="0" collapsed="false">
      <c r="C327" s="2" t="n">
        <f aca="false">L__B!$C$327</f>
        <v>22</v>
      </c>
      <c r="D327" s="2" t="n">
        <f aca="false">L__B!$D$327</f>
        <v>11</v>
      </c>
      <c r="E327" s="102" t="n">
        <f aca="false">L__B!$E$327</f>
        <v>326</v>
      </c>
      <c r="F327" s="103" t="n">
        <f aca="false">calc!$AN$327</f>
        <v>240.971226733862</v>
      </c>
      <c r="G327" s="103" t="n">
        <f aca="false">IF(ABS(F327-F326)&lt;100,F327,"")</f>
        <v>240.971226733862</v>
      </c>
      <c r="H327" s="16" t="n">
        <f aca="false">calc!$X$327</f>
        <v>213.836728784527</v>
      </c>
      <c r="I327" s="104" t="n">
        <f aca="false">IF(ABS(H327-H326)&lt;100,H327,"")</f>
        <v>213.836728784527</v>
      </c>
      <c r="J327" s="6" t="n">
        <f aca="false">calc!$Z$327</f>
        <v>0.873012412437264</v>
      </c>
      <c r="K327" s="16" t="n">
        <f aca="false">10*J327</f>
        <v>8.73012412437264</v>
      </c>
      <c r="L327" s="6" t="str">
        <f aca="false">IF(ABS(H327-F327)/17.4&lt;1,(H327-F327)/17.4,"")</f>
        <v/>
      </c>
      <c r="M327" s="6" t="n">
        <f aca="false">IF(ABS(J327)/1.58&lt;1,J327/1.58/1.58,"")</f>
        <v>0.349708545280109</v>
      </c>
      <c r="N327" s="6" t="str">
        <f aca="false">IF(OR(L327="",M327=""),"",ABS(L327)+ABS(M327))</f>
        <v/>
      </c>
      <c r="O327" s="3" t="str">
        <f aca="false">IF(OR(L327="",M327=""),"","SE?")</f>
        <v/>
      </c>
    </row>
    <row r="328" customFormat="false" ht="17" hidden="false" customHeight="true" outlineLevel="0" collapsed="false">
      <c r="C328" s="2" t="n">
        <f aca="false">L__B!$C$328</f>
        <v>23</v>
      </c>
      <c r="D328" s="2" t="n">
        <f aca="false">L__B!$D$328</f>
        <v>11</v>
      </c>
      <c r="E328" s="102" t="n">
        <f aca="false">L__B!$E$328</f>
        <v>327</v>
      </c>
      <c r="F328" s="103" t="n">
        <f aca="false">calc!$AN$328</f>
        <v>241.956874097768</v>
      </c>
      <c r="G328" s="103" t="n">
        <f aca="false">IF(ABS(F328-F327)&lt;100,F328,"")</f>
        <v>241.956874097768</v>
      </c>
      <c r="H328" s="16" t="n">
        <f aca="false">calc!$X$328</f>
        <v>227.864338400268</v>
      </c>
      <c r="I328" s="104" t="n">
        <f aca="false">IF(ABS(H328-H327)&lt;100,H328,"")</f>
        <v>227.864338400268</v>
      </c>
      <c r="J328" s="6" t="n">
        <f aca="false">calc!$Z$328</f>
        <v>-0.415101233019352</v>
      </c>
      <c r="K328" s="16" t="n">
        <f aca="false">10*J328</f>
        <v>-4.15101233019352</v>
      </c>
      <c r="L328" s="6" t="n">
        <f aca="false">IF(ABS(H328-F328)/17.4&lt;1,(H328-F328)/17.4,"")</f>
        <v>-0.809915844683932</v>
      </c>
      <c r="M328" s="6" t="n">
        <f aca="false">IF(ABS(J328)/1.58&lt;1,J328/1.58/1.58,"")</f>
        <v>-0.166279936316036</v>
      </c>
      <c r="N328" s="6" t="n">
        <f aca="false">IF(OR(L328="",M328=""),"",ABS(L328)+ABS(M328))</f>
        <v>0.976195780999967</v>
      </c>
      <c r="O328" s="3" t="str">
        <f aca="false">IF(OR(L328="",M328=""),"","SE?")</f>
        <v>SE?</v>
      </c>
    </row>
    <row r="329" customFormat="false" ht="17" hidden="false" customHeight="true" outlineLevel="0" collapsed="false">
      <c r="C329" s="2" t="n">
        <f aca="false">L__B!$C$329</f>
        <v>24</v>
      </c>
      <c r="D329" s="2" t="n">
        <f aca="false">L__B!$D$329</f>
        <v>11</v>
      </c>
      <c r="E329" s="102" t="n">
        <f aca="false">L__B!$E$329</f>
        <v>328</v>
      </c>
      <c r="F329" s="103" t="n">
        <f aca="false">calc!$AN$329</f>
        <v>242.942521461671</v>
      </c>
      <c r="G329" s="103" t="n">
        <f aca="false">IF(ABS(F329-F328)&lt;100,F329,"")</f>
        <v>242.942521461671</v>
      </c>
      <c r="H329" s="16" t="n">
        <f aca="false">calc!$X$329</f>
        <v>242.242658802664</v>
      </c>
      <c r="I329" s="104" t="n">
        <f aca="false">IF(ABS(H329-H328)&lt;100,H329,"")</f>
        <v>242.242658802664</v>
      </c>
      <c r="J329" s="6" t="n">
        <f aca="false">calc!$Z$329</f>
        <v>-1.70634060414147</v>
      </c>
      <c r="K329" s="16" t="n">
        <f aca="false">10*J329</f>
        <v>-17.0634060414147</v>
      </c>
      <c r="L329" s="6" t="n">
        <f aca="false">IF(ABS(H329-F329)/17.4&lt;1,(H329-F329)/17.4,"")</f>
        <v>-0.0402219918969922</v>
      </c>
      <c r="M329" s="6" t="str">
        <f aca="false">IF(ABS(J329)/1.58&lt;1,J329/1.58/1.58,"")</f>
        <v/>
      </c>
      <c r="N329" s="6" t="str">
        <f aca="false">IF(OR(L329="",M329=""),"",ABS(L329)+ABS(M329))</f>
        <v/>
      </c>
      <c r="O329" s="3" t="str">
        <f aca="false">IF(OR(L329="",M329=""),"","SE?")</f>
        <v/>
      </c>
    </row>
    <row r="330" customFormat="false" ht="17" hidden="false" customHeight="true" outlineLevel="0" collapsed="false">
      <c r="C330" s="2" t="n">
        <f aca="false">L__B!$C$330</f>
        <v>25</v>
      </c>
      <c r="D330" s="2" t="n">
        <f aca="false">L__B!$D$330</f>
        <v>11</v>
      </c>
      <c r="E330" s="102" t="n">
        <f aca="false">L__B!$E$330</f>
        <v>329</v>
      </c>
      <c r="F330" s="103" t="n">
        <f aca="false">calc!$AN$330</f>
        <v>243.928168825576</v>
      </c>
      <c r="G330" s="103" t="n">
        <f aca="false">IF(ABS(F330-F329)&lt;100,F330,"")</f>
        <v>243.928168825576</v>
      </c>
      <c r="H330" s="16" t="n">
        <f aca="false">calc!$X$330</f>
        <v>256.881056440832</v>
      </c>
      <c r="I330" s="104" t="n">
        <f aca="false">IF(ABS(H330-H329)&lt;100,H330,"")</f>
        <v>256.881056440832</v>
      </c>
      <c r="J330" s="6" t="n">
        <f aca="false">calc!$Z$330</f>
        <v>-2.9068979867014</v>
      </c>
      <c r="K330" s="16" t="n">
        <f aca="false">10*J330</f>
        <v>-29.068979867014</v>
      </c>
      <c r="L330" s="6" t="n">
        <f aca="false">IF(ABS(H330-F330)/17.4&lt;1,(H330-F330)/17.4,"")</f>
        <v>0.744418828462964</v>
      </c>
      <c r="M330" s="6" t="str">
        <f aca="false">IF(ABS(J330)/1.58&lt;1,J330/1.58/1.58,"")</f>
        <v/>
      </c>
      <c r="N330" s="6" t="str">
        <f aca="false">IF(OR(L330="",M330=""),"",ABS(L330)+ABS(M330))</f>
        <v/>
      </c>
      <c r="O330" s="3" t="str">
        <f aca="false">IF(OR(L330="",M330=""),"","SE?")</f>
        <v/>
      </c>
    </row>
    <row r="331" customFormat="false" ht="17" hidden="false" customHeight="true" outlineLevel="0" collapsed="false">
      <c r="C331" s="2" t="n">
        <f aca="false">L__B!$C$331</f>
        <v>26</v>
      </c>
      <c r="D331" s="2" t="n">
        <f aca="false">L__B!$D$331</f>
        <v>11</v>
      </c>
      <c r="E331" s="102" t="n">
        <f aca="false">L__B!$E$331</f>
        <v>330</v>
      </c>
      <c r="F331" s="103" t="n">
        <f aca="false">calc!$AN$331</f>
        <v>244.913816189483</v>
      </c>
      <c r="G331" s="103" t="n">
        <f aca="false">IF(ABS(F331-F330)&lt;100,F331,"")</f>
        <v>244.913816189483</v>
      </c>
      <c r="H331" s="16" t="n">
        <f aca="false">calc!$X$331</f>
        <v>271.662259544313</v>
      </c>
      <c r="I331" s="104" t="n">
        <f aca="false">IF(ABS(H331-H330)&lt;100,H331,"")</f>
        <v>271.662259544313</v>
      </c>
      <c r="J331" s="6" t="n">
        <f aca="false">calc!$Z$331</f>
        <v>-3.92387172256173</v>
      </c>
      <c r="K331" s="16" t="n">
        <f aca="false">10*J331</f>
        <v>-39.2387172256173</v>
      </c>
      <c r="L331" s="6" t="str">
        <f aca="false">IF(ABS(H331-F331)/17.4&lt;1,(H331-F331)/17.4,"")</f>
        <v/>
      </c>
      <c r="M331" s="6" t="str">
        <f aca="false">IF(ABS(J331)/1.58&lt;1,J331/1.58/1.58,"")</f>
        <v/>
      </c>
      <c r="N331" s="6" t="str">
        <f aca="false">IF(OR(L331="",M331=""),"",ABS(L331)+ABS(M331))</f>
        <v/>
      </c>
      <c r="O331" s="3" t="str">
        <f aca="false">IF(OR(L331="",M331=""),"","SE?")</f>
        <v/>
      </c>
    </row>
    <row r="332" customFormat="false" ht="17" hidden="false" customHeight="true" outlineLevel="0" collapsed="false">
      <c r="C332" s="2" t="n">
        <f aca="false">L__B!$C$332</f>
        <v>27</v>
      </c>
      <c r="D332" s="2" t="n">
        <f aca="false">L__B!$D$332</f>
        <v>11</v>
      </c>
      <c r="E332" s="102" t="n">
        <f aca="false">L__B!$E$332</f>
        <v>331</v>
      </c>
      <c r="F332" s="103" t="n">
        <f aca="false">calc!$AN$332</f>
        <v>245.899463553387</v>
      </c>
      <c r="G332" s="103" t="n">
        <f aca="false">IF(ABS(F332-F331)&lt;100,F332,"")</f>
        <v>245.899463553387</v>
      </c>
      <c r="H332" s="16" t="n">
        <f aca="false">calc!$X$332</f>
        <v>286.458563456936</v>
      </c>
      <c r="I332" s="104" t="n">
        <f aca="false">IF(ABS(H332-H331)&lt;100,H332,"")</f>
        <v>286.458563456936</v>
      </c>
      <c r="J332" s="6" t="n">
        <f aca="false">calc!$Z$332</f>
        <v>-4.67951083618171</v>
      </c>
      <c r="K332" s="16" t="n">
        <f aca="false">10*J332</f>
        <v>-46.7951083618171</v>
      </c>
      <c r="L332" s="6" t="str">
        <f aca="false">IF(ABS(H332-F332)/17.4&lt;1,(H332-F332)/17.4,"")</f>
        <v/>
      </c>
      <c r="M332" s="6" t="str">
        <f aca="false">IF(ABS(J332)/1.58&lt;1,J332/1.58/1.58,"")</f>
        <v/>
      </c>
      <c r="N332" s="6" t="str">
        <f aca="false">IF(OR(L332="",M332=""),"",ABS(L332)+ABS(M332))</f>
        <v/>
      </c>
      <c r="O332" s="3" t="str">
        <f aca="false">IF(OR(L332="",M332=""),"","SE?")</f>
        <v/>
      </c>
    </row>
    <row r="333" customFormat="false" ht="17" hidden="false" customHeight="true" outlineLevel="0" collapsed="false">
      <c r="C333" s="2" t="n">
        <f aca="false">L__B!$C$333</f>
        <v>28</v>
      </c>
      <c r="D333" s="2" t="n">
        <f aca="false">L__B!$D$333</f>
        <v>11</v>
      </c>
      <c r="E333" s="102" t="n">
        <f aca="false">L__B!$E$333</f>
        <v>332</v>
      </c>
      <c r="F333" s="103" t="n">
        <f aca="false">calc!$AN$333</f>
        <v>246.885110917294</v>
      </c>
      <c r="G333" s="103" t="n">
        <f aca="false">IF(ABS(F333-F332)&lt;100,F333,"")</f>
        <v>246.885110917294</v>
      </c>
      <c r="H333" s="16" t="n">
        <f aca="false">calc!$X$333</f>
        <v>301.149503080899</v>
      </c>
      <c r="I333" s="104" t="n">
        <f aca="false">IF(ABS(H333-H332)&lt;100,H333,"")</f>
        <v>301.149503080899</v>
      </c>
      <c r="J333" s="6" t="n">
        <f aca="false">calc!$Z$333</f>
        <v>-5.122446277896</v>
      </c>
      <c r="K333" s="16" t="n">
        <f aca="false">10*J333</f>
        <v>-51.22446277896</v>
      </c>
      <c r="L333" s="6" t="str">
        <f aca="false">IF(ABS(H333-F333)/17.4&lt;1,(H333-F333)/17.4,"")</f>
        <v/>
      </c>
      <c r="M333" s="6" t="str">
        <f aca="false">IF(ABS(J333)/1.58&lt;1,J333/1.58/1.58,"")</f>
        <v/>
      </c>
      <c r="N333" s="6" t="str">
        <f aca="false">IF(OR(L333="",M333=""),"",ABS(L333)+ABS(M333))</f>
        <v/>
      </c>
      <c r="O333" s="3" t="str">
        <f aca="false">IF(OR(L333="",M333=""),"","SE?")</f>
        <v/>
      </c>
    </row>
    <row r="334" customFormat="false" ht="17" hidden="false" customHeight="true" outlineLevel="0" collapsed="false">
      <c r="C334" s="2" t="n">
        <f aca="false">L__B!$C$334</f>
        <v>29</v>
      </c>
      <c r="D334" s="2" t="n">
        <f aca="false">L__B!$D$334</f>
        <v>11</v>
      </c>
      <c r="E334" s="102" t="n">
        <f aca="false">L__B!$E$334</f>
        <v>333</v>
      </c>
      <c r="F334" s="103" t="n">
        <f aca="false">calc!$AN$334</f>
        <v>247.870758281202</v>
      </c>
      <c r="G334" s="103" t="n">
        <f aca="false">IF(ABS(F334-F333)&lt;100,F334,"")</f>
        <v>247.870758281202</v>
      </c>
      <c r="H334" s="16" t="n">
        <f aca="false">calc!$X$334</f>
        <v>315.636904115504</v>
      </c>
      <c r="I334" s="104" t="n">
        <f aca="false">IF(ABS(H334-H333)&lt;100,H334,"")</f>
        <v>315.636904115504</v>
      </c>
      <c r="J334" s="6" t="n">
        <f aca="false">calc!$Z$334</f>
        <v>-5.23253542446183</v>
      </c>
      <c r="K334" s="16" t="n">
        <f aca="false">10*J334</f>
        <v>-52.3253542446183</v>
      </c>
      <c r="L334" s="6" t="str">
        <f aca="false">IF(ABS(H334-F334)/17.4&lt;1,(H334-F334)/17.4,"")</f>
        <v/>
      </c>
      <c r="M334" s="6" t="str">
        <f aca="false">IF(ABS(J334)/1.58&lt;1,J334/1.58/1.58,"")</f>
        <v/>
      </c>
      <c r="N334" s="6" t="str">
        <f aca="false">IF(OR(L334="",M334=""),"",ABS(L334)+ABS(M334))</f>
        <v/>
      </c>
      <c r="O334" s="3" t="str">
        <f aca="false">IF(OR(L334="",M334=""),"","SE?")</f>
        <v/>
      </c>
    </row>
    <row r="335" customFormat="false" ht="17" hidden="false" customHeight="true" outlineLevel="0" collapsed="false">
      <c r="C335" s="2" t="n">
        <f aca="false">L__B!$C$335</f>
        <v>30</v>
      </c>
      <c r="D335" s="2" t="n">
        <f aca="false">L__B!$D$335</f>
        <v>11</v>
      </c>
      <c r="E335" s="102" t="n">
        <f aca="false">L__B!$E$335</f>
        <v>334</v>
      </c>
      <c r="F335" s="103" t="n">
        <f aca="false">calc!$AN$335</f>
        <v>248.856405645109</v>
      </c>
      <c r="G335" s="103" t="n">
        <f aca="false">IF(ABS(F335-F334)&lt;100,F335,"")</f>
        <v>248.856405645109</v>
      </c>
      <c r="H335" s="16" t="n">
        <f aca="false">calc!$X$335</f>
        <v>329.854115646048</v>
      </c>
      <c r="I335" s="104" t="n">
        <f aca="false">IF(ABS(H335-H334)&lt;100,H335,"")</f>
        <v>329.854115646048</v>
      </c>
      <c r="J335" s="6" t="n">
        <f aca="false">calc!$Z$335</f>
        <v>-5.0188883045079</v>
      </c>
      <c r="K335" s="16" t="n">
        <f aca="false">10*J335</f>
        <v>-50.188883045079</v>
      </c>
      <c r="L335" s="6" t="str">
        <f aca="false">IF(ABS(H335-F335)/17.4&lt;1,(H335-F335)/17.4,"")</f>
        <v/>
      </c>
      <c r="M335" s="6" t="str">
        <f aca="false">IF(ABS(J335)/1.58&lt;1,J335/1.58/1.58,"")</f>
        <v/>
      </c>
      <c r="N335" s="6" t="str">
        <f aca="false">IF(OR(L335="",M335=""),"",ABS(L335)+ABS(M335))</f>
        <v/>
      </c>
      <c r="O335" s="3" t="str">
        <f aca="false">IF(OR(L335="",M335=""),"","SE?")</f>
        <v/>
      </c>
    </row>
    <row r="336" customFormat="false" ht="17" hidden="false" customHeight="true" outlineLevel="0" collapsed="false">
      <c r="C336" s="2" t="n">
        <f aca="false">L__B!$C$336</f>
        <v>1</v>
      </c>
      <c r="D336" s="2" t="n">
        <f aca="false">L__B!$D$336</f>
        <v>12</v>
      </c>
      <c r="E336" s="102" t="n">
        <f aca="false">L__B!$E$336</f>
        <v>335</v>
      </c>
      <c r="F336" s="103" t="n">
        <f aca="false">calc!$AN$336</f>
        <v>249.842053009017</v>
      </c>
      <c r="G336" s="103" t="n">
        <f aca="false">IF(ABS(F336-F335)&lt;100,F336,"")</f>
        <v>249.842053009017</v>
      </c>
      <c r="H336" s="16" t="n">
        <f aca="false">calc!$X$336</f>
        <v>343.768043975242</v>
      </c>
      <c r="I336" s="104" t="n">
        <f aca="false">IF(ABS(H336-H335)&lt;100,H336,"")</f>
        <v>343.768043975242</v>
      </c>
      <c r="J336" s="6" t="n">
        <f aca="false">calc!$Z$336</f>
        <v>-4.51336231357037</v>
      </c>
      <c r="K336" s="16" t="n">
        <f aca="false">10*J336</f>
        <v>-45.1336231357037</v>
      </c>
      <c r="L336" s="6" t="str">
        <f aca="false">IF(ABS(H336-F336)/17.4&lt;1,(H336-F336)/17.4,"")</f>
        <v/>
      </c>
      <c r="M336" s="6" t="str">
        <f aca="false">IF(ABS(J336)/1.58&lt;1,J336/1.58/1.58,"")</f>
        <v/>
      </c>
      <c r="N336" s="6" t="str">
        <f aca="false">IF(OR(L336="",M336=""),"",ABS(L336)+ABS(M336))</f>
        <v/>
      </c>
      <c r="O336" s="3" t="str">
        <f aca="false">IF(OR(L336="",M336=""),"","SE?")</f>
        <v/>
      </c>
    </row>
    <row r="337" customFormat="false" ht="17" hidden="false" customHeight="true" outlineLevel="0" collapsed="false">
      <c r="C337" s="2" t="n">
        <f aca="false">L__B!$C$337</f>
        <v>2</v>
      </c>
      <c r="D337" s="2" t="n">
        <f aca="false">L__B!$D$337</f>
        <v>12</v>
      </c>
      <c r="E337" s="102" t="n">
        <f aca="false">L__B!$E$337</f>
        <v>336</v>
      </c>
      <c r="F337" s="103" t="n">
        <f aca="false">calc!$AN$337</f>
        <v>250.827700372927</v>
      </c>
      <c r="G337" s="103" t="n">
        <f aca="false">IF(ABS(F337-F336)&lt;100,F337,"")</f>
        <v>250.827700372927</v>
      </c>
      <c r="H337" s="16" t="n">
        <f aca="false">calc!$X$337</f>
        <v>357.3746993353</v>
      </c>
      <c r="I337" s="104" t="n">
        <f aca="false">IF(ABS(H337-H336)&lt;100,H337,"")</f>
        <v>357.3746993353</v>
      </c>
      <c r="J337" s="6" t="n">
        <f aca="false">calc!$Z$337</f>
        <v>-3.76281077886549</v>
      </c>
      <c r="K337" s="16" t="n">
        <f aca="false">10*J337</f>
        <v>-37.6281077886549</v>
      </c>
      <c r="L337" s="6" t="str">
        <f aca="false">IF(ABS(H337-F337)/17.4&lt;1,(H337-F337)/17.4,"")</f>
        <v/>
      </c>
      <c r="M337" s="6" t="str">
        <f aca="false">IF(ABS(J337)/1.58&lt;1,J337/1.58/1.58,"")</f>
        <v/>
      </c>
      <c r="N337" s="6" t="str">
        <f aca="false">IF(OR(L337="",M337=""),"",ABS(L337)+ABS(M337))</f>
        <v/>
      </c>
      <c r="O337" s="3" t="str">
        <f aca="false">IF(OR(L337="",M337=""),"","SE?")</f>
        <v/>
      </c>
    </row>
    <row r="338" customFormat="false" ht="17" hidden="false" customHeight="true" outlineLevel="0" collapsed="false">
      <c r="C338" s="2" t="n">
        <f aca="false">L__B!$C$338</f>
        <v>3</v>
      </c>
      <c r="D338" s="2" t="n">
        <f aca="false">L__B!$D$338</f>
        <v>12</v>
      </c>
      <c r="E338" s="102" t="n">
        <f aca="false">L__B!$E$338</f>
        <v>337</v>
      </c>
      <c r="F338" s="103" t="n">
        <f aca="false">calc!$AN$338</f>
        <v>251.813347736837</v>
      </c>
      <c r="G338" s="103" t="n">
        <f aca="false">IF(ABS(F338-F337)&lt;100,F338,"")</f>
        <v>251.813347736837</v>
      </c>
      <c r="H338" s="16" t="n">
        <f aca="false">calc!$X$338</f>
        <v>10.6906186450432</v>
      </c>
      <c r="I338" s="104" t="str">
        <f aca="false">IF(ABS(H338-H337)&lt;100,H338,"")</f>
        <v/>
      </c>
      <c r="J338" s="6" t="n">
        <f aca="false">calc!$Z$338</f>
        <v>-2.82254887951721</v>
      </c>
      <c r="K338" s="16" t="n">
        <f aca="false">10*J338</f>
        <v>-28.2254887951721</v>
      </c>
      <c r="L338" s="6" t="str">
        <f aca="false">IF(ABS(H338-F338)/17.4&lt;1,(H338-F338)/17.4,"")</f>
        <v/>
      </c>
      <c r="M338" s="6" t="str">
        <f aca="false">IF(ABS(J338)/1.58&lt;1,J338/1.58/1.58,"")</f>
        <v/>
      </c>
      <c r="N338" s="6" t="str">
        <f aca="false">IF(OR(L338="",M338=""),"",ABS(L338)+ABS(M338))</f>
        <v/>
      </c>
      <c r="O338" s="3" t="str">
        <f aca="false">IF(OR(L338="",M338=""),"","SE?")</f>
        <v/>
      </c>
    </row>
    <row r="339" customFormat="false" ht="17" hidden="false" customHeight="true" outlineLevel="0" collapsed="false">
      <c r="C339" s="2" t="n">
        <f aca="false">L__B!$C$339</f>
        <v>4</v>
      </c>
      <c r="D339" s="2" t="n">
        <f aca="false">L__B!$D$339</f>
        <v>12</v>
      </c>
      <c r="E339" s="102" t="n">
        <f aca="false">L__B!$E$339</f>
        <v>338</v>
      </c>
      <c r="F339" s="103" t="n">
        <f aca="false">calc!$AN$339</f>
        <v>252.798995100746</v>
      </c>
      <c r="G339" s="103" t="n">
        <f aca="false">IF(ABS(F339-F338)&lt;100,F339,"")</f>
        <v>252.798995100746</v>
      </c>
      <c r="H339" s="16" t="n">
        <f aca="false">calc!$X$339</f>
        <v>23.7432305572643</v>
      </c>
      <c r="I339" s="104" t="n">
        <f aca="false">IF(ABS(H339-H338)&lt;100,H339,"")</f>
        <v>23.7432305572643</v>
      </c>
      <c r="J339" s="6" t="n">
        <f aca="false">calc!$Z$339</f>
        <v>-1.75186232152031</v>
      </c>
      <c r="K339" s="16" t="n">
        <f aca="false">10*J339</f>
        <v>-17.5186232152031</v>
      </c>
      <c r="L339" s="6" t="str">
        <f aca="false">IF(ABS(H339-F339)/17.4&lt;1,(H339-F339)/17.4,"")</f>
        <v/>
      </c>
      <c r="M339" s="6" t="str">
        <f aca="false">IF(ABS(J339)/1.58&lt;1,J339/1.58/1.58,"")</f>
        <v/>
      </c>
      <c r="N339" s="6" t="str">
        <f aca="false">IF(OR(L339="",M339=""),"",ABS(L339)+ABS(M339))</f>
        <v/>
      </c>
      <c r="O339" s="3" t="str">
        <f aca="false">IF(OR(L339="",M339=""),"","SE?")</f>
        <v/>
      </c>
    </row>
    <row r="340" customFormat="false" ht="17" hidden="false" customHeight="true" outlineLevel="0" collapsed="false">
      <c r="C340" s="2" t="n">
        <f aca="false">L__B!$C$340</f>
        <v>5</v>
      </c>
      <c r="D340" s="2" t="n">
        <f aca="false">L__B!$D$340</f>
        <v>12</v>
      </c>
      <c r="E340" s="102" t="n">
        <f aca="false">L__B!$E$340</f>
        <v>339</v>
      </c>
      <c r="F340" s="103" t="n">
        <f aca="false">calc!$AN$340</f>
        <v>253.784642464654</v>
      </c>
      <c r="G340" s="103" t="n">
        <f aca="false">IF(ABS(F340-F339)&lt;100,F340,"")</f>
        <v>253.784642464654</v>
      </c>
      <c r="H340" s="16" t="n">
        <f aca="false">calc!$X$340</f>
        <v>36.5628602441572</v>
      </c>
      <c r="I340" s="104" t="n">
        <f aca="false">IF(ABS(H340-H339)&lt;100,H340,"")</f>
        <v>36.5628602441572</v>
      </c>
      <c r="J340" s="6" t="n">
        <f aca="false">calc!$Z$340</f>
        <v>-0.611066297854834</v>
      </c>
      <c r="K340" s="16" t="n">
        <f aca="false">10*J340</f>
        <v>-6.11066297854833</v>
      </c>
      <c r="L340" s="6" t="str">
        <f aca="false">IF(ABS(H340-F340)/17.4&lt;1,(H340-F340)/17.4,"")</f>
        <v/>
      </c>
      <c r="M340" s="6" t="n">
        <f aca="false">IF(ABS(J340)/1.58&lt;1,J340/1.58/1.58,"")</f>
        <v>-0.244779000903234</v>
      </c>
      <c r="N340" s="6" t="str">
        <f aca="false">IF(OR(L340="",M340=""),"",ABS(L340)+ABS(M340))</f>
        <v/>
      </c>
      <c r="O340" s="3" t="str">
        <f aca="false">IF(OR(L340="",M340=""),"","SE?")</f>
        <v/>
      </c>
    </row>
    <row r="341" customFormat="false" ht="17" hidden="false" customHeight="true" outlineLevel="0" collapsed="false">
      <c r="C341" s="2" t="n">
        <f aca="false">L__B!$C$341</f>
        <v>6</v>
      </c>
      <c r="D341" s="2" t="n">
        <f aca="false">L__B!$D$341</f>
        <v>12</v>
      </c>
      <c r="E341" s="102" t="n">
        <f aca="false">L__B!$E$341</f>
        <v>340</v>
      </c>
      <c r="F341" s="103" t="n">
        <f aca="false">calc!$AN$341</f>
        <v>254.770289828564</v>
      </c>
      <c r="G341" s="103" t="n">
        <f aca="false">IF(ABS(F341-F340)&lt;100,F341,"")</f>
        <v>254.770289828564</v>
      </c>
      <c r="H341" s="16" t="n">
        <f aca="false">calc!$X$341</f>
        <v>49.177912041289</v>
      </c>
      <c r="I341" s="104" t="n">
        <f aca="false">IF(ABS(H341-H340)&lt;100,H341,"")</f>
        <v>49.177912041289</v>
      </c>
      <c r="J341" s="6" t="n">
        <f aca="false">calc!$Z$341</f>
        <v>0.540815026894765</v>
      </c>
      <c r="K341" s="16" t="n">
        <f aca="false">10*J341</f>
        <v>5.40815026894765</v>
      </c>
      <c r="L341" s="6" t="str">
        <f aca="false">IF(ABS(H341-F341)/17.4&lt;1,(H341-F341)/17.4,"")</f>
        <v/>
      </c>
      <c r="M341" s="6" t="n">
        <f aca="false">IF(ABS(J341)/1.58&lt;1,J341/1.58/1.58,"")</f>
        <v>0.216637969433891</v>
      </c>
      <c r="N341" s="6" t="str">
        <f aca="false">IF(OR(L341="",M341=""),"",ABS(L341)+ABS(M341))</f>
        <v/>
      </c>
      <c r="O341" s="3" t="str">
        <f aca="false">IF(OR(L341="",M341=""),"","SE?")</f>
        <v/>
      </c>
    </row>
    <row r="342" customFormat="false" ht="17" hidden="false" customHeight="true" outlineLevel="0" collapsed="false">
      <c r="C342" s="2" t="n">
        <f aca="false">L__B!$C$342</f>
        <v>7</v>
      </c>
      <c r="D342" s="2" t="n">
        <f aca="false">L__B!$D$342</f>
        <v>12</v>
      </c>
      <c r="E342" s="102" t="n">
        <f aca="false">L__B!$E$342</f>
        <v>341</v>
      </c>
      <c r="F342" s="103" t="n">
        <f aca="false">calc!$AN$342</f>
        <v>255.755937192476</v>
      </c>
      <c r="G342" s="103" t="n">
        <f aca="false">IF(ABS(F342-F341)&lt;100,F342,"")</f>
        <v>255.755937192476</v>
      </c>
      <c r="H342" s="16" t="n">
        <f aca="false">calc!$X$342</f>
        <v>61.6133636472362</v>
      </c>
      <c r="I342" s="104" t="n">
        <f aca="false">IF(ABS(H342-H341)&lt;100,H342,"")</f>
        <v>61.6133636472362</v>
      </c>
      <c r="J342" s="6" t="n">
        <f aca="false">calc!$Z$342</f>
        <v>1.64835048811211</v>
      </c>
      <c r="K342" s="16" t="n">
        <f aca="false">10*J342</f>
        <v>16.4835048811211</v>
      </c>
      <c r="L342" s="6" t="str">
        <f aca="false">IF(ABS(H342-F342)/17.4&lt;1,(H342-F342)/17.4,"")</f>
        <v/>
      </c>
      <c r="M342" s="6" t="str">
        <f aca="false">IF(ABS(J342)/1.58&lt;1,J342/1.58/1.58,"")</f>
        <v/>
      </c>
      <c r="N342" s="6" t="str">
        <f aca="false">IF(OR(L342="",M342=""),"",ABS(L342)+ABS(M342))</f>
        <v/>
      </c>
      <c r="O342" s="3" t="str">
        <f aca="false">IF(OR(L342="",M342=""),"","SE?")</f>
        <v/>
      </c>
    </row>
    <row r="343" customFormat="false" ht="17" hidden="false" customHeight="true" outlineLevel="0" collapsed="false">
      <c r="C343" s="2" t="n">
        <f aca="false">L__B!$C$343</f>
        <v>8</v>
      </c>
      <c r="D343" s="2" t="n">
        <f aca="false">L__B!$D$343</f>
        <v>12</v>
      </c>
      <c r="E343" s="102" t="n">
        <f aca="false">L__B!$E$343</f>
        <v>342</v>
      </c>
      <c r="F343" s="103" t="n">
        <f aca="false">calc!$AN$343</f>
        <v>256.741584556388</v>
      </c>
      <c r="G343" s="103" t="n">
        <f aca="false">IF(ABS(F343-F342)&lt;100,F343,"")</f>
        <v>256.741584556388</v>
      </c>
      <c r="H343" s="16" t="n">
        <f aca="false">calc!$X$343</f>
        <v>73.8916271358785</v>
      </c>
      <c r="I343" s="104" t="n">
        <f aca="false">IF(ABS(H343-H342)&lt;100,H343,"")</f>
        <v>73.8916271358785</v>
      </c>
      <c r="J343" s="6" t="n">
        <f aca="false">calc!$Z$343</f>
        <v>2.66198501452097</v>
      </c>
      <c r="K343" s="16" t="n">
        <f aca="false">10*J343</f>
        <v>26.6198501452097</v>
      </c>
      <c r="L343" s="6" t="str">
        <f aca="false">IF(ABS(H343-F343)/17.4&lt;1,(H343-F343)/17.4,"")</f>
        <v/>
      </c>
      <c r="M343" s="6" t="str">
        <f aca="false">IF(ABS(J343)/1.58&lt;1,J343/1.58/1.58,"")</f>
        <v/>
      </c>
      <c r="N343" s="6" t="str">
        <f aca="false">IF(OR(L343="",M343=""),"",ABS(L343)+ABS(M343))</f>
        <v/>
      </c>
      <c r="O343" s="3" t="str">
        <f aca="false">IF(OR(L343="",M343=""),"","SE?")</f>
        <v/>
      </c>
    </row>
    <row r="344" customFormat="false" ht="17" hidden="false" customHeight="true" outlineLevel="0" collapsed="false">
      <c r="C344" s="2" t="n">
        <f aca="false">L__B!$C$344</f>
        <v>9</v>
      </c>
      <c r="D344" s="2" t="n">
        <f aca="false">L__B!$D$344</f>
        <v>12</v>
      </c>
      <c r="E344" s="102" t="n">
        <f aca="false">L__B!$E$344</f>
        <v>343</v>
      </c>
      <c r="F344" s="103" t="n">
        <f aca="false">calc!$AN$344</f>
        <v>257.727231920298</v>
      </c>
      <c r="G344" s="103" t="n">
        <f aca="false">IF(ABS(F344-F343)&lt;100,F344,"")</f>
        <v>257.727231920298</v>
      </c>
      <c r="H344" s="16" t="n">
        <f aca="false">calc!$X$344</f>
        <v>86.0344414763322</v>
      </c>
      <c r="I344" s="104" t="n">
        <f aca="false">IF(ABS(H344-H343)&lt;100,H344,"")</f>
        <v>86.0344414763322</v>
      </c>
      <c r="J344" s="6" t="n">
        <f aca="false">calc!$Z$344</f>
        <v>3.53990295244333</v>
      </c>
      <c r="K344" s="16" t="n">
        <f aca="false">10*J344</f>
        <v>35.3990295244333</v>
      </c>
      <c r="L344" s="6" t="str">
        <f aca="false">IF(ABS(H344-F344)/17.4&lt;1,(H344-F344)/17.4,"")</f>
        <v/>
      </c>
      <c r="M344" s="6" t="str">
        <f aca="false">IF(ABS(J344)/1.58&lt;1,J344/1.58/1.58,"")</f>
        <v/>
      </c>
      <c r="N344" s="6" t="str">
        <f aca="false">IF(OR(L344="",M344=""),"",ABS(L344)+ABS(M344))</f>
        <v/>
      </c>
      <c r="O344" s="3" t="str">
        <f aca="false">IF(OR(L344="",M344=""),"","SE?")</f>
        <v/>
      </c>
    </row>
    <row r="345" customFormat="false" ht="17" hidden="false" customHeight="true" outlineLevel="0" collapsed="false">
      <c r="C345" s="2" t="n">
        <f aca="false">L__B!$C$345</f>
        <v>10</v>
      </c>
      <c r="D345" s="2" t="n">
        <f aca="false">L__B!$D$345</f>
        <v>12</v>
      </c>
      <c r="E345" s="102" t="n">
        <f aca="false">L__B!$E$345</f>
        <v>344</v>
      </c>
      <c r="F345" s="103" t="n">
        <f aca="false">calc!$AN$345</f>
        <v>258.712879284212</v>
      </c>
      <c r="G345" s="103" t="n">
        <f aca="false">IF(ABS(F345-F344)&lt;100,F345,"")</f>
        <v>258.712879284212</v>
      </c>
      <c r="H345" s="16" t="n">
        <f aca="false">calc!$X$345</f>
        <v>98.0647771690642</v>
      </c>
      <c r="I345" s="104" t="n">
        <f aca="false">IF(ABS(H345-H344)&lt;100,H345,"")</f>
        <v>98.0647771690642</v>
      </c>
      <c r="J345" s="6" t="n">
        <f aca="false">calc!$Z$345</f>
        <v>4.24906854468358</v>
      </c>
      <c r="K345" s="16" t="n">
        <f aca="false">10*J345</f>
        <v>42.4906854468358</v>
      </c>
      <c r="L345" s="6" t="str">
        <f aca="false">IF(ABS(H345-F345)/17.4&lt;1,(H345-F345)/17.4,"")</f>
        <v/>
      </c>
      <c r="M345" s="6" t="str">
        <f aca="false">IF(ABS(J345)/1.58&lt;1,J345/1.58/1.58,"")</f>
        <v/>
      </c>
      <c r="N345" s="6" t="str">
        <f aca="false">IF(OR(L345="",M345=""),"",ABS(L345)+ABS(M345))</f>
        <v/>
      </c>
      <c r="O345" s="3" t="str">
        <f aca="false">IF(OR(L345="",M345=""),"","SE?")</f>
        <v/>
      </c>
    </row>
    <row r="346" customFormat="false" ht="17" hidden="false" customHeight="true" outlineLevel="0" collapsed="false">
      <c r="C346" s="2" t="n">
        <f aca="false">L__B!$C$346</f>
        <v>11</v>
      </c>
      <c r="D346" s="2" t="n">
        <f aca="false">L__B!$D$346</f>
        <v>12</v>
      </c>
      <c r="E346" s="102" t="n">
        <f aca="false">L__B!$E$346</f>
        <v>345</v>
      </c>
      <c r="F346" s="103" t="n">
        <f aca="false">calc!$AN$346</f>
        <v>259.698526648124</v>
      </c>
      <c r="G346" s="103" t="n">
        <f aca="false">IF(ABS(F346-F345)&lt;100,F346,"")</f>
        <v>259.698526648124</v>
      </c>
      <c r="H346" s="16" t="n">
        <f aca="false">calc!$X$346</f>
        <v>110.008450802046</v>
      </c>
      <c r="I346" s="104" t="n">
        <f aca="false">IF(ABS(H346-H345)&lt;100,H346,"")</f>
        <v>110.008450802046</v>
      </c>
      <c r="J346" s="6" t="n">
        <f aca="false">calc!$Z$346</f>
        <v>4.76531880668998</v>
      </c>
      <c r="K346" s="16" t="n">
        <f aca="false">10*J346</f>
        <v>47.6531880668998</v>
      </c>
      <c r="L346" s="6" t="str">
        <f aca="false">IF(ABS(H346-F346)/17.4&lt;1,(H346-F346)/17.4,"")</f>
        <v/>
      </c>
      <c r="M346" s="6" t="str">
        <f aca="false">IF(ABS(J346)/1.58&lt;1,J346/1.58/1.58,"")</f>
        <v/>
      </c>
      <c r="N346" s="6" t="str">
        <f aca="false">IF(OR(L346="",M346=""),"",ABS(L346)+ABS(M346))</f>
        <v/>
      </c>
      <c r="O346" s="3" t="str">
        <f aca="false">IF(OR(L346="",M346=""),"","SE?")</f>
        <v/>
      </c>
    </row>
    <row r="347" customFormat="false" ht="17" hidden="false" customHeight="true" outlineLevel="0" collapsed="false">
      <c r="C347" s="2" t="n">
        <f aca="false">L__B!$C$347</f>
        <v>12</v>
      </c>
      <c r="D347" s="2" t="n">
        <f aca="false">L__B!$D$347</f>
        <v>12</v>
      </c>
      <c r="E347" s="102" t="n">
        <f aca="false">L__B!$E$347</f>
        <v>346</v>
      </c>
      <c r="F347" s="103" t="n">
        <f aca="false">calc!$AN$347</f>
        <v>260.684174012038</v>
      </c>
      <c r="G347" s="103" t="n">
        <f aca="false">IF(ABS(F347-F346)&lt;100,F347,"")</f>
        <v>260.684174012038</v>
      </c>
      <c r="H347" s="16" t="n">
        <f aca="false">calc!$X$347</f>
        <v>121.895796960355</v>
      </c>
      <c r="I347" s="104" t="n">
        <f aca="false">IF(ABS(H347-H346)&lt;100,H347,"")</f>
        <v>121.895796960355</v>
      </c>
      <c r="J347" s="6" t="n">
        <f aca="false">calc!$Z$347</f>
        <v>5.07268333694802</v>
      </c>
      <c r="K347" s="16" t="n">
        <f aca="false">10*J347</f>
        <v>50.7268333694802</v>
      </c>
      <c r="L347" s="6" t="str">
        <f aca="false">IF(ABS(H347-F347)/17.4&lt;1,(H347-F347)/17.4,"")</f>
        <v/>
      </c>
      <c r="M347" s="6" t="str">
        <f aca="false">IF(ABS(J347)/1.58&lt;1,J347/1.58/1.58,"")</f>
        <v/>
      </c>
      <c r="N347" s="6" t="str">
        <f aca="false">IF(OR(L347="",M347=""),"",ABS(L347)+ABS(M347))</f>
        <v/>
      </c>
      <c r="O347" s="3" t="str">
        <f aca="false">IF(OR(L347="",M347=""),"","SE?")</f>
        <v/>
      </c>
    </row>
    <row r="348" customFormat="false" ht="17" hidden="false" customHeight="true" outlineLevel="0" collapsed="false">
      <c r="C348" s="2" t="n">
        <f aca="false">L__B!$C$348</f>
        <v>13</v>
      </c>
      <c r="D348" s="2" t="n">
        <f aca="false">L__B!$D$348</f>
        <v>12</v>
      </c>
      <c r="E348" s="102" t="n">
        <f aca="false">L__B!$E$348</f>
        <v>347</v>
      </c>
      <c r="F348" s="103" t="n">
        <f aca="false">calc!$AN$348</f>
        <v>261.66982137595</v>
      </c>
      <c r="G348" s="103" t="n">
        <f aca="false">IF(ABS(F348-F347)&lt;100,F348,"")</f>
        <v>261.66982137595</v>
      </c>
      <c r="H348" s="16" t="n">
        <f aca="false">calc!$X$348</f>
        <v>133.763922802152</v>
      </c>
      <c r="I348" s="104" t="n">
        <f aca="false">IF(ABS(H348-H347)&lt;100,H348,"")</f>
        <v>133.763922802152</v>
      </c>
      <c r="J348" s="6" t="n">
        <f aca="false">calc!$Z$348</f>
        <v>5.16225051110133</v>
      </c>
      <c r="K348" s="16" t="n">
        <f aca="false">10*J348</f>
        <v>51.6225051110133</v>
      </c>
      <c r="L348" s="6" t="str">
        <f aca="false">IF(ABS(H348-F348)/17.4&lt;1,(H348-F348)/17.4,"")</f>
        <v/>
      </c>
      <c r="M348" s="6" t="str">
        <f aca="false">IF(ABS(J348)/1.58&lt;1,J348/1.58/1.58,"")</f>
        <v/>
      </c>
      <c r="N348" s="6" t="str">
        <f aca="false">IF(OR(L348="",M348=""),"",ABS(L348)+ABS(M348))</f>
        <v/>
      </c>
      <c r="O348" s="3" t="str">
        <f aca="false">IF(OR(L348="",M348=""),"","SE?")</f>
        <v/>
      </c>
    </row>
    <row r="349" customFormat="false" ht="17" hidden="false" customHeight="true" outlineLevel="0" collapsed="false">
      <c r="C349" s="2" t="n">
        <f aca="false">L__B!$C$349</f>
        <v>14</v>
      </c>
      <c r="D349" s="2" t="n">
        <f aca="false">L__B!$D$349</f>
        <v>12</v>
      </c>
      <c r="E349" s="102" t="n">
        <f aca="false">L__B!$E$349</f>
        <v>348</v>
      </c>
      <c r="F349" s="103" t="n">
        <f aca="false">calc!$AN$349</f>
        <v>262.655468739864</v>
      </c>
      <c r="G349" s="103" t="n">
        <f aca="false">IF(ABS(F349-F348)&lt;100,F349,"")</f>
        <v>262.655468739864</v>
      </c>
      <c r="H349" s="16" t="n">
        <f aca="false">calc!$X$349</f>
        <v>145.659632758899</v>
      </c>
      <c r="I349" s="104" t="n">
        <f aca="false">IF(ABS(H349-H348)&lt;100,H349,"")</f>
        <v>145.659632758899</v>
      </c>
      <c r="J349" s="6" t="n">
        <f aca="false">calc!$Z$349</f>
        <v>5.03090459379416</v>
      </c>
      <c r="K349" s="16" t="n">
        <f aca="false">10*J349</f>
        <v>50.3090459379416</v>
      </c>
      <c r="L349" s="6" t="str">
        <f aca="false">IF(ABS(H349-F349)/17.4&lt;1,(H349-F349)/17.4,"")</f>
        <v/>
      </c>
      <c r="M349" s="6" t="str">
        <f aca="false">IF(ABS(J349)/1.58&lt;1,J349/1.58/1.58,"")</f>
        <v/>
      </c>
      <c r="N349" s="6" t="str">
        <f aca="false">IF(OR(L349="",M349=""),"",ABS(L349)+ABS(M349))</f>
        <v/>
      </c>
      <c r="O349" s="3" t="str">
        <f aca="false">IF(OR(L349="",M349=""),"","SE?")</f>
        <v/>
      </c>
    </row>
    <row r="350" customFormat="false" ht="17" hidden="false" customHeight="true" outlineLevel="0" collapsed="false">
      <c r="C350" s="2" t="n">
        <f aca="false">L__B!$C$350</f>
        <v>15</v>
      </c>
      <c r="D350" s="2" t="n">
        <f aca="false">L__B!$D$350</f>
        <v>12</v>
      </c>
      <c r="E350" s="102" t="n">
        <f aca="false">L__B!$E$350</f>
        <v>349</v>
      </c>
      <c r="F350" s="103" t="n">
        <f aca="false">calc!$AN$350</f>
        <v>263.641116103776</v>
      </c>
      <c r="G350" s="103" t="n">
        <f aca="false">IF(ABS(F350-F349)&lt;100,F350,"")</f>
        <v>263.641116103776</v>
      </c>
      <c r="H350" s="16" t="n">
        <f aca="false">calc!$X$350</f>
        <v>157.642249679063</v>
      </c>
      <c r="I350" s="104" t="n">
        <f aca="false">IF(ABS(H350-H349)&lt;100,H350,"")</f>
        <v>157.642249679063</v>
      </c>
      <c r="J350" s="6" t="n">
        <f aca="false">calc!$Z$350</f>
        <v>4.68025889221331</v>
      </c>
      <c r="K350" s="16" t="n">
        <f aca="false">10*J350</f>
        <v>46.8025889221331</v>
      </c>
      <c r="L350" s="6" t="str">
        <f aca="false">IF(ABS(H350-F350)/17.4&lt;1,(H350-F350)/17.4,"")</f>
        <v/>
      </c>
      <c r="M350" s="6" t="str">
        <f aca="false">IF(ABS(J350)/1.58&lt;1,J350/1.58/1.58,"")</f>
        <v/>
      </c>
      <c r="N350" s="6" t="str">
        <f aca="false">IF(OR(L350="",M350=""),"",ABS(L350)+ABS(M350))</f>
        <v/>
      </c>
      <c r="O350" s="3" t="str">
        <f aca="false">IF(OR(L350="",M350=""),"","SE?")</f>
        <v/>
      </c>
    </row>
    <row r="351" customFormat="false" ht="17" hidden="false" customHeight="true" outlineLevel="0" collapsed="false">
      <c r="C351" s="2" t="n">
        <f aca="false">L__B!$C$351</f>
        <v>16</v>
      </c>
      <c r="D351" s="2" t="n">
        <f aca="false">L__B!$D$351</f>
        <v>12</v>
      </c>
      <c r="E351" s="102" t="n">
        <f aca="false">L__B!$E$351</f>
        <v>350</v>
      </c>
      <c r="F351" s="103" t="n">
        <f aca="false">calc!$AN$351</f>
        <v>264.626763467692</v>
      </c>
      <c r="G351" s="103" t="n">
        <f aca="false">IF(ABS(F351-F350)&lt;100,F351,"")</f>
        <v>264.626763467692</v>
      </c>
      <c r="H351" s="16" t="n">
        <f aca="false">calc!$X$351</f>
        <v>169.784725020684</v>
      </c>
      <c r="I351" s="104" t="n">
        <f aca="false">IF(ABS(H351-H350)&lt;100,H351,"")</f>
        <v>169.784725020684</v>
      </c>
      <c r="J351" s="6" t="n">
        <f aca="false">calc!$Z$351</f>
        <v>4.11620295361598</v>
      </c>
      <c r="K351" s="16" t="n">
        <f aca="false">10*J351</f>
        <v>41.1620295361598</v>
      </c>
      <c r="L351" s="6" t="str">
        <f aca="false">IF(ABS(H351-F351)/17.4&lt;1,(H351-F351)/17.4,"")</f>
        <v/>
      </c>
      <c r="M351" s="6" t="str">
        <f aca="false">IF(ABS(J351)/1.58&lt;1,J351/1.58/1.58,"")</f>
        <v/>
      </c>
      <c r="N351" s="6" t="str">
        <f aca="false">IF(OR(L351="",M351=""),"",ABS(L351)+ABS(M351))</f>
        <v/>
      </c>
      <c r="O351" s="3" t="str">
        <f aca="false">IF(OR(L351="",M351=""),"","SE?")</f>
        <v/>
      </c>
    </row>
    <row r="352" customFormat="false" ht="17" hidden="false" customHeight="true" outlineLevel="0" collapsed="false">
      <c r="C352" s="2" t="n">
        <f aca="false">L__B!$C$352</f>
        <v>17</v>
      </c>
      <c r="D352" s="2" t="n">
        <f aca="false">L__B!$D$352</f>
        <v>12</v>
      </c>
      <c r="E352" s="102" t="n">
        <f aca="false">L__B!$E$352</f>
        <v>351</v>
      </c>
      <c r="F352" s="103" t="n">
        <f aca="false">calc!$AN$352</f>
        <v>265.612410831607</v>
      </c>
      <c r="G352" s="103" t="n">
        <f aca="false">IF(ABS(F352-F351)&lt;100,F352,"")</f>
        <v>265.612410831607</v>
      </c>
      <c r="H352" s="16" t="n">
        <f aca="false">calc!$X$352</f>
        <v>182.171132149735</v>
      </c>
      <c r="I352" s="104" t="n">
        <f aca="false">IF(ABS(H352-H351)&lt;100,H352,"")</f>
        <v>182.171132149735</v>
      </c>
      <c r="J352" s="6" t="n">
        <f aca="false">calc!$Z$352</f>
        <v>3.34960808902081</v>
      </c>
      <c r="K352" s="16" t="n">
        <f aca="false">10*J352</f>
        <v>33.4960808902081</v>
      </c>
      <c r="L352" s="6" t="str">
        <f aca="false">IF(ABS(H352-F352)/17.4&lt;1,(H352-F352)/17.4,"")</f>
        <v/>
      </c>
      <c r="M352" s="6" t="str">
        <f aca="false">IF(ABS(J352)/1.58&lt;1,J352/1.58/1.58,"")</f>
        <v/>
      </c>
      <c r="N352" s="6" t="str">
        <f aca="false">IF(OR(L352="",M352=""),"",ABS(L352)+ABS(M352))</f>
        <v/>
      </c>
      <c r="O352" s="3" t="str">
        <f aca="false">IF(OR(L352="",M352=""),"","SE?")</f>
        <v/>
      </c>
    </row>
    <row r="353" customFormat="false" ht="17" hidden="false" customHeight="true" outlineLevel="0" collapsed="false">
      <c r="C353" s="2" t="n">
        <f aca="false">L__B!$C$353</f>
        <v>18</v>
      </c>
      <c r="D353" s="2" t="n">
        <f aca="false">L__B!$D$353</f>
        <v>12</v>
      </c>
      <c r="E353" s="102" t="n">
        <f aca="false">L__B!$E$353</f>
        <v>352</v>
      </c>
      <c r="F353" s="103" t="n">
        <f aca="false">calc!$AN$353</f>
        <v>266.598058195521</v>
      </c>
      <c r="G353" s="103" t="n">
        <f aca="false">IF(ABS(F353-F352)&lt;100,F353,"")</f>
        <v>266.598058195521</v>
      </c>
      <c r="H353" s="16" t="n">
        <f aca="false">calc!$X$353</f>
        <v>194.889199363885</v>
      </c>
      <c r="I353" s="104" t="n">
        <f aca="false">IF(ABS(H353-H352)&lt;100,H353,"")</f>
        <v>194.889199363885</v>
      </c>
      <c r="J353" s="6" t="n">
        <f aca="false">calc!$Z$353</f>
        <v>2.39868530073861</v>
      </c>
      <c r="K353" s="16" t="n">
        <f aca="false">10*J353</f>
        <v>23.9868530073861</v>
      </c>
      <c r="L353" s="6" t="str">
        <f aca="false">IF(ABS(H353-F353)/17.4&lt;1,(H353-F353)/17.4,"")</f>
        <v/>
      </c>
      <c r="M353" s="6" t="str">
        <f aca="false">IF(ABS(J353)/1.58&lt;1,J353/1.58/1.58,"")</f>
        <v/>
      </c>
      <c r="N353" s="6" t="str">
        <f aca="false">IF(OR(L353="",M353=""),"",ABS(L353)+ABS(M353))</f>
        <v/>
      </c>
      <c r="O353" s="3" t="str">
        <f aca="false">IF(OR(L353="",M353=""),"","SE?")</f>
        <v/>
      </c>
    </row>
    <row r="354" customFormat="false" ht="17" hidden="false" customHeight="true" outlineLevel="0" collapsed="false">
      <c r="C354" s="2" t="n">
        <f aca="false">L__B!$C$354</f>
        <v>19</v>
      </c>
      <c r="D354" s="2" t="n">
        <f aca="false">L__B!$D$354</f>
        <v>12</v>
      </c>
      <c r="E354" s="102" t="n">
        <f aca="false">L__B!$E$354</f>
        <v>353</v>
      </c>
      <c r="F354" s="103" t="n">
        <f aca="false">calc!$AN$354</f>
        <v>267.583705559438</v>
      </c>
      <c r="G354" s="103" t="n">
        <f aca="false">IF(ABS(F354-F353)&lt;100,F354,"")</f>
        <v>267.583705559438</v>
      </c>
      <c r="H354" s="16" t="n">
        <f aca="false">calc!$X$354</f>
        <v>208.01793429262</v>
      </c>
      <c r="I354" s="104" t="n">
        <f aca="false">IF(ABS(H354-H353)&lt;100,H354,"")</f>
        <v>208.01793429262</v>
      </c>
      <c r="J354" s="6" t="n">
        <f aca="false">calc!$Z$354</f>
        <v>1.29302331416126</v>
      </c>
      <c r="K354" s="16" t="n">
        <f aca="false">10*J354</f>
        <v>12.9302331416126</v>
      </c>
      <c r="L354" s="6" t="str">
        <f aca="false">IF(ABS(H354-F354)/17.4&lt;1,(H354-F354)/17.4,"")</f>
        <v/>
      </c>
      <c r="M354" s="6" t="n">
        <f aca="false">IF(ABS(J354)/1.58&lt;1,J354/1.58/1.58,"")</f>
        <v>0.517955181125326</v>
      </c>
      <c r="N354" s="6" t="str">
        <f aca="false">IF(OR(L354="",M354=""),"",ABS(L354)+ABS(M354))</f>
        <v/>
      </c>
      <c r="O354" s="3" t="str">
        <f aca="false">IF(OR(L354="",M354=""),"","SE?")</f>
        <v/>
      </c>
    </row>
    <row r="355" customFormat="false" ht="17" hidden="false" customHeight="true" outlineLevel="0" collapsed="false">
      <c r="C355" s="2" t="n">
        <f aca="false">L__B!$C$355</f>
        <v>20</v>
      </c>
      <c r="D355" s="2" t="n">
        <f aca="false">L__B!$D$355</f>
        <v>12</v>
      </c>
      <c r="E355" s="102" t="n">
        <f aca="false">L__B!$E$355</f>
        <v>354</v>
      </c>
      <c r="F355" s="103" t="n">
        <f aca="false">calc!$AN$355</f>
        <v>268.569352923354</v>
      </c>
      <c r="G355" s="103" t="n">
        <f aca="false">IF(ABS(F355-F354)&lt;100,F355,"")</f>
        <v>268.569352923354</v>
      </c>
      <c r="H355" s="16" t="n">
        <f aca="false">calc!$X$355</f>
        <v>221.612207322124</v>
      </c>
      <c r="I355" s="104" t="n">
        <f aca="false">IF(ABS(H355-H354)&lt;100,H355,"")</f>
        <v>221.612207322124</v>
      </c>
      <c r="J355" s="6" t="n">
        <f aca="false">calc!$Z$355</f>
        <v>0.0783686940809536</v>
      </c>
      <c r="K355" s="16" t="n">
        <f aca="false">10*J355</f>
        <v>0.783686940809536</v>
      </c>
      <c r="L355" s="6" t="str">
        <f aca="false">IF(ABS(H355-F355)/17.4&lt;1,(H355-F355)/17.4,"")</f>
        <v/>
      </c>
      <c r="M355" s="6" t="n">
        <f aca="false">IF(ABS(J355)/1.58&lt;1,J355/1.58/1.58,"")</f>
        <v>0.0313926830960397</v>
      </c>
      <c r="N355" s="6" t="str">
        <f aca="false">IF(OR(L355="",M355=""),"",ABS(L355)+ABS(M355))</f>
        <v/>
      </c>
      <c r="O355" s="3" t="str">
        <f aca="false">IF(OR(L355="",M355=""),"","SE?")</f>
        <v/>
      </c>
    </row>
    <row r="356" customFormat="false" ht="17" hidden="false" customHeight="true" outlineLevel="0" collapsed="false">
      <c r="C356" s="2" t="n">
        <f aca="false">L__B!$C$356</f>
        <v>21</v>
      </c>
      <c r="D356" s="2" t="n">
        <f aca="false">L__B!$D$356</f>
        <v>12</v>
      </c>
      <c r="E356" s="102" t="n">
        <f aca="false">L__B!$E$356</f>
        <v>355</v>
      </c>
      <c r="F356" s="103" t="n">
        <f aca="false">calc!$AN$356</f>
        <v>269.555000287273</v>
      </c>
      <c r="G356" s="103" t="n">
        <f aca="false">IF(ABS(F356-F355)&lt;100,F356,"")</f>
        <v>269.555000287273</v>
      </c>
      <c r="H356" s="16" t="n">
        <f aca="false">calc!$X$356</f>
        <v>235.687739868953</v>
      </c>
      <c r="I356" s="104" t="n">
        <f aca="false">IF(ABS(H356-H355)&lt;100,H356,"")</f>
        <v>235.687739868953</v>
      </c>
      <c r="J356" s="6" t="n">
        <f aca="false">calc!$Z$356</f>
        <v>-1.1799899110254</v>
      </c>
      <c r="K356" s="16" t="n">
        <f aca="false">10*J356</f>
        <v>-11.799899110254</v>
      </c>
      <c r="L356" s="6" t="str">
        <f aca="false">IF(ABS(H356-F356)/17.4&lt;1,(H356-F356)/17.4,"")</f>
        <v/>
      </c>
      <c r="M356" s="6" t="n">
        <f aca="false">IF(ABS(J356)/1.58&lt;1,J356/1.58/1.58,"")</f>
        <v>-0.472676618741146</v>
      </c>
      <c r="N356" s="6" t="str">
        <f aca="false">IF(OR(L356="",M356=""),"",ABS(L356)+ABS(M356))</f>
        <v/>
      </c>
      <c r="O356" s="3" t="str">
        <f aca="false">IF(OR(L356="",M356=""),"","SE?")</f>
        <v/>
      </c>
    </row>
    <row r="357" customFormat="false" ht="17" hidden="false" customHeight="true" outlineLevel="0" collapsed="false">
      <c r="C357" s="2" t="n">
        <f aca="false">L__B!$C$357</f>
        <v>22</v>
      </c>
      <c r="D357" s="2" t="n">
        <f aca="false">L__B!$D$357</f>
        <v>12</v>
      </c>
      <c r="E357" s="102" t="n">
        <f aca="false">L__B!$E$357</f>
        <v>356</v>
      </c>
      <c r="F357" s="103" t="n">
        <f aca="false">calc!$AN$357</f>
        <v>270.540647651191</v>
      </c>
      <c r="G357" s="103" t="n">
        <f aca="false">IF(ABS(F357-F356)&lt;100,F357,"")</f>
        <v>270.540647651191</v>
      </c>
      <c r="H357" s="16" t="n">
        <f aca="false">calc!$X$357</f>
        <v>250.21062804292</v>
      </c>
      <c r="I357" s="104" t="n">
        <f aca="false">IF(ABS(H357-H356)&lt;100,H357,"")</f>
        <v>250.21062804292</v>
      </c>
      <c r="J357" s="6" t="n">
        <f aca="false">calc!$Z$357</f>
        <v>-2.39810509149876</v>
      </c>
      <c r="K357" s="16" t="n">
        <f aca="false">10*J357</f>
        <v>-23.9810509149876</v>
      </c>
      <c r="L357" s="6" t="str">
        <f aca="false">IF(ABS(H357-F357)/17.4&lt;1,(H357-F357)/17.4,"")</f>
        <v/>
      </c>
      <c r="M357" s="6" t="str">
        <f aca="false">IF(ABS(J357)/1.58&lt;1,J357/1.58/1.58,"")</f>
        <v/>
      </c>
      <c r="N357" s="6" t="str">
        <f aca="false">IF(OR(L357="",M357=""),"",ABS(L357)+ABS(M357))</f>
        <v/>
      </c>
      <c r="O357" s="3" t="str">
        <f aca="false">IF(OR(L357="",M357=""),"","SE?")</f>
        <v/>
      </c>
    </row>
    <row r="358" customFormat="false" ht="17" hidden="false" customHeight="true" outlineLevel="0" collapsed="false">
      <c r="C358" s="2" t="n">
        <f aca="false">L__B!$C$358</f>
        <v>23</v>
      </c>
      <c r="D358" s="2" t="n">
        <f aca="false">L__B!$D$358</f>
        <v>12</v>
      </c>
      <c r="E358" s="102" t="n">
        <f aca="false">L__B!$E$358</f>
        <v>357</v>
      </c>
      <c r="F358" s="103" t="n">
        <f aca="false">calc!$AN$358</f>
        <v>271.52629501511</v>
      </c>
      <c r="G358" s="103" t="n">
        <f aca="false">IF(ABS(F358-F357)&lt;100,F358,"")</f>
        <v>271.52629501511</v>
      </c>
      <c r="H358" s="16" t="n">
        <f aca="false">calc!$X$358</f>
        <v>265.094937552927</v>
      </c>
      <c r="I358" s="104" t="n">
        <f aca="false">IF(ABS(H358-H357)&lt;100,H358,"")</f>
        <v>265.094937552927</v>
      </c>
      <c r="J358" s="6" t="n">
        <f aca="false">calc!$Z$358</f>
        <v>-3.48075713715624</v>
      </c>
      <c r="K358" s="16" t="n">
        <f aca="false">10*J358</f>
        <v>-34.8075713715624</v>
      </c>
      <c r="L358" s="6" t="n">
        <f aca="false">IF(ABS(H358-F358)/17.4&lt;1,(H358-F358)/17.4,"")</f>
        <v>-0.369618244953048</v>
      </c>
      <c r="M358" s="6" t="str">
        <f aca="false">IF(ABS(J358)/1.58&lt;1,J358/1.58/1.58,"")</f>
        <v/>
      </c>
      <c r="N358" s="6" t="str">
        <f aca="false">IF(OR(L358="",M358=""),"",ABS(L358)+ABS(M358))</f>
        <v/>
      </c>
      <c r="O358" s="3" t="str">
        <f aca="false">IF(OR(L358="",M358=""),"","SE?")</f>
        <v/>
      </c>
    </row>
    <row r="359" customFormat="false" ht="17" hidden="false" customHeight="true" outlineLevel="0" collapsed="false">
      <c r="C359" s="2" t="n">
        <f aca="false">L__B!$C$359</f>
        <v>24</v>
      </c>
      <c r="D359" s="2" t="n">
        <f aca="false">L__B!$D$359</f>
        <v>12</v>
      </c>
      <c r="E359" s="102" t="n">
        <f aca="false">L__B!$E$359</f>
        <v>358</v>
      </c>
      <c r="F359" s="103" t="n">
        <f aca="false">calc!$AN$359</f>
        <v>272.511942379027</v>
      </c>
      <c r="G359" s="103" t="n">
        <f aca="false">IF(ABS(F359-F358)&lt;100,F359,"")</f>
        <v>272.511942379027</v>
      </c>
      <c r="H359" s="16" t="n">
        <f aca="false">calc!$X$359</f>
        <v>280.210089482344</v>
      </c>
      <c r="I359" s="104" t="n">
        <f aca="false">IF(ABS(H359-H358)&lt;100,H359,"")</f>
        <v>280.210089482344</v>
      </c>
      <c r="J359" s="6" t="n">
        <f aca="false">calc!$Z$359</f>
        <v>-4.33515782288436</v>
      </c>
      <c r="K359" s="16" t="n">
        <f aca="false">10*J359</f>
        <v>-43.3515782288436</v>
      </c>
      <c r="L359" s="6" t="n">
        <f aca="false">IF(ABS(H359-F359)/17.4&lt;1,(H359-F359)/17.4,"")</f>
        <v>0.442422247317066</v>
      </c>
      <c r="M359" s="6" t="str">
        <f aca="false">IF(ABS(J359)/1.58&lt;1,J359/1.58/1.58,"")</f>
        <v/>
      </c>
      <c r="N359" s="6" t="str">
        <f aca="false">IF(OR(L359="",M359=""),"",ABS(L359)+ABS(M359))</f>
        <v/>
      </c>
      <c r="O359" s="3" t="str">
        <f aca="false">IF(OR(L359="",M359=""),"","SE?")</f>
        <v/>
      </c>
    </row>
    <row r="360" customFormat="false" ht="17" hidden="false" customHeight="true" outlineLevel="0" collapsed="false">
      <c r="C360" s="2" t="n">
        <f aca="false">L__B!$C$360</f>
        <v>25</v>
      </c>
      <c r="D360" s="2" t="n">
        <f aca="false">L__B!$D$360</f>
        <v>12</v>
      </c>
      <c r="E360" s="102" t="n">
        <f aca="false">L__B!$E$360</f>
        <v>359</v>
      </c>
      <c r="F360" s="103" t="n">
        <f aca="false">calc!$AN$360</f>
        <v>273.497589742947</v>
      </c>
      <c r="G360" s="103" t="n">
        <f aca="false">IF(ABS(F360-F359)&lt;100,F360,"")</f>
        <v>273.497589742947</v>
      </c>
      <c r="H360" s="16" t="n">
        <f aca="false">calc!$X$360</f>
        <v>295.397228076956</v>
      </c>
      <c r="I360" s="104" t="n">
        <f aca="false">IF(ABS(H360-H359)&lt;100,H360,"")</f>
        <v>295.397228076956</v>
      </c>
      <c r="J360" s="6" t="n">
        <f aca="false">calc!$Z$360</f>
        <v>-4.88743482972885</v>
      </c>
      <c r="K360" s="16" t="n">
        <f aca="false">10*J360</f>
        <v>-48.8743482972885</v>
      </c>
      <c r="L360" s="6" t="str">
        <f aca="false">IF(ABS(H360-F360)/17.4&lt;1,(H360-F360)/17.4,"")</f>
        <v/>
      </c>
      <c r="M360" s="6" t="str">
        <f aca="false">IF(ABS(J360)/1.58&lt;1,J360/1.58/1.58,"")</f>
        <v/>
      </c>
      <c r="N360" s="6" t="str">
        <f aca="false">IF(OR(L360="",M360=""),"",ABS(L360)+ABS(M360))</f>
        <v/>
      </c>
      <c r="O360" s="3" t="str">
        <f aca="false">IF(OR(L360="",M360=""),"","SE?")</f>
        <v/>
      </c>
    </row>
    <row r="361" customFormat="false" ht="17" hidden="false" customHeight="true" outlineLevel="0" collapsed="false">
      <c r="C361" s="2" t="n">
        <f aca="false">L__B!$C$361</f>
        <v>26</v>
      </c>
      <c r="D361" s="2" t="n">
        <f aca="false">L__B!$D$361</f>
        <v>12</v>
      </c>
      <c r="E361" s="102" t="n">
        <f aca="false">L__B!$E$361</f>
        <v>360</v>
      </c>
      <c r="F361" s="103" t="n">
        <f aca="false">calc!$AN$361</f>
        <v>274.483237106866</v>
      </c>
      <c r="G361" s="103" t="n">
        <f aca="false">IF(ABS(F361-F360)&lt;100,F361,"")</f>
        <v>274.483237106866</v>
      </c>
      <c r="H361" s="16" t="n">
        <f aca="false">calc!$X$361</f>
        <v>310.491314068965</v>
      </c>
      <c r="I361" s="104" t="n">
        <f aca="false">IF(ABS(H361-H360)&lt;100,H361,"")</f>
        <v>310.491314068965</v>
      </c>
      <c r="J361" s="6" t="n">
        <f aca="false">calc!$Z$361</f>
        <v>-5.09614359973514</v>
      </c>
      <c r="K361" s="16" t="n">
        <f aca="false">10*J361</f>
        <v>-50.9614359973514</v>
      </c>
      <c r="L361" s="6" t="str">
        <f aca="false">IF(ABS(H361-F361)/17.4&lt;1,(H361-F361)/17.4,"")</f>
        <v/>
      </c>
      <c r="M361" s="6" t="str">
        <f aca="false">IF(ABS(J361)/1.58&lt;1,J361/1.58/1.58,"")</f>
        <v/>
      </c>
      <c r="N361" s="6" t="str">
        <f aca="false">IF(OR(L361="",M361=""),"",ABS(L361)+ABS(M361))</f>
        <v/>
      </c>
      <c r="O361" s="3" t="str">
        <f aca="false">IF(OR(L361="",M361=""),"","SE?")</f>
        <v/>
      </c>
    </row>
    <row r="362" customFormat="false" ht="17" hidden="false" customHeight="true" outlineLevel="0" collapsed="false">
      <c r="C362" s="2" t="n">
        <f aca="false">L__B!$C$362</f>
        <v>27</v>
      </c>
      <c r="D362" s="2" t="n">
        <f aca="false">L__B!$D$362</f>
        <v>12</v>
      </c>
      <c r="E362" s="102" t="n">
        <f aca="false">L__B!$E$362</f>
        <v>361</v>
      </c>
      <c r="F362" s="103" t="n">
        <f aca="false">calc!$AN$362</f>
        <v>275.468884470785</v>
      </c>
      <c r="G362" s="103" t="n">
        <f aca="false">IF(ABS(F362-F361)&lt;100,F362,"")</f>
        <v>275.468884470785</v>
      </c>
      <c r="H362" s="16" t="n">
        <f aca="false">calc!$X$362</f>
        <v>325.344115817139</v>
      </c>
      <c r="I362" s="104" t="n">
        <f aca="false">IF(ABS(H362-H361)&lt;100,H362,"")</f>
        <v>325.344115817139</v>
      </c>
      <c r="J362" s="6" t="n">
        <f aca="false">calc!$Z$362</f>
        <v>-4.95780933667567</v>
      </c>
      <c r="K362" s="16" t="n">
        <f aca="false">10*J362</f>
        <v>-49.5780933667567</v>
      </c>
      <c r="L362" s="6" t="str">
        <f aca="false">IF(ABS(H362-F362)/17.4&lt;1,(H362-F362)/17.4,"")</f>
        <v/>
      </c>
      <c r="M362" s="6" t="str">
        <f aca="false">IF(ABS(J362)/1.58&lt;1,J362/1.58/1.58,"")</f>
        <v/>
      </c>
      <c r="N362" s="6" t="str">
        <f aca="false">IF(OR(L362="",M362=""),"",ABS(L362)+ABS(M362))</f>
        <v/>
      </c>
      <c r="O362" s="3" t="str">
        <f aca="false">IF(OR(L362="",M362=""),"","SE?")</f>
        <v/>
      </c>
    </row>
    <row r="363" customFormat="false" ht="17" hidden="false" customHeight="true" outlineLevel="0" collapsed="false">
      <c r="C363" s="2" t="n">
        <f aca="false">L__B!$C$363</f>
        <v>28</v>
      </c>
      <c r="D363" s="2" t="n">
        <f aca="false">L__B!$D$363</f>
        <v>12</v>
      </c>
      <c r="E363" s="102" t="n">
        <f aca="false">L__B!$E$363</f>
        <v>362</v>
      </c>
      <c r="F363" s="103" t="n">
        <f aca="false">calc!$AN$363</f>
        <v>276.454531834705</v>
      </c>
      <c r="G363" s="103" t="n">
        <f aca="false">IF(ABS(F363-F362)&lt;100,F363,"")</f>
        <v>276.454531834705</v>
      </c>
      <c r="H363" s="16" t="n">
        <f aca="false">calc!$X$363</f>
        <v>339.843085631707</v>
      </c>
      <c r="I363" s="104" t="n">
        <f aca="false">IF(ABS(H363-H362)&lt;100,H363,"")</f>
        <v>339.843085631707</v>
      </c>
      <c r="J363" s="6" t="n">
        <f aca="false">calc!$Z$363</f>
        <v>-4.50308691148224</v>
      </c>
      <c r="K363" s="16" t="n">
        <f aca="false">10*J363</f>
        <v>-45.0308691148224</v>
      </c>
      <c r="L363" s="6" t="str">
        <f aca="false">IF(ABS(H363-F363)/17.4&lt;1,(H363-F363)/17.4,"")</f>
        <v/>
      </c>
      <c r="M363" s="6" t="str">
        <f aca="false">IF(ABS(J363)/1.58&lt;1,J363/1.58/1.58,"")</f>
        <v/>
      </c>
      <c r="N363" s="6" t="str">
        <f aca="false">IF(OR(L363="",M363=""),"",ABS(L363)+ABS(M363))</f>
        <v/>
      </c>
      <c r="O363" s="3" t="str">
        <f aca="false">IF(OR(L363="",M363=""),"","SE?")</f>
        <v/>
      </c>
    </row>
    <row r="364" customFormat="false" ht="17" hidden="false" customHeight="true" outlineLevel="0" collapsed="false">
      <c r="C364" s="2" t="n">
        <f aca="false">L__B!$C$364</f>
        <v>29</v>
      </c>
      <c r="D364" s="2" t="n">
        <f aca="false">L__B!$D$364</f>
        <v>12</v>
      </c>
      <c r="E364" s="102" t="n">
        <f aca="false">L__B!$E$364</f>
        <v>363</v>
      </c>
      <c r="F364" s="103" t="n">
        <f aca="false">calc!$AN$364</f>
        <v>277.440179198627</v>
      </c>
      <c r="G364" s="103" t="n">
        <f aca="false">IF(ABS(F364-F363)&lt;100,F364,"")</f>
        <v>277.440179198627</v>
      </c>
      <c r="H364" s="16" t="n">
        <f aca="false">calc!$X$364</f>
        <v>353.922351039411</v>
      </c>
      <c r="I364" s="104" t="n">
        <f aca="false">IF(ABS(H364-H363)&lt;100,H364,"")</f>
        <v>353.922351039411</v>
      </c>
      <c r="J364" s="6" t="n">
        <f aca="false">calc!$Z$364</f>
        <v>-3.78626290749168</v>
      </c>
      <c r="K364" s="16" t="n">
        <f aca="false">10*J364</f>
        <v>-37.8626290749168</v>
      </c>
      <c r="L364" s="6" t="str">
        <f aca="false">IF(ABS(H364-F364)/17.4&lt;1,(H364-F364)/17.4,"")</f>
        <v/>
      </c>
      <c r="M364" s="6" t="str">
        <f aca="false">IF(ABS(J364)/1.58&lt;1,J364/1.58/1.58,"")</f>
        <v/>
      </c>
      <c r="N364" s="6" t="str">
        <f aca="false">IF(OR(L364="",M364=""),"",ABS(L364)+ABS(M364))</f>
        <v/>
      </c>
      <c r="O364" s="3" t="str">
        <f aca="false">IF(OR(L364="",M364=""),"","SE?")</f>
        <v/>
      </c>
    </row>
    <row r="365" customFormat="false" ht="17" hidden="false" customHeight="true" outlineLevel="0" collapsed="false">
      <c r="C365" s="2" t="n">
        <f aca="false">L__B!$C$365</f>
        <v>30</v>
      </c>
      <c r="D365" s="2" t="n">
        <f aca="false">L__B!$D$365</f>
        <v>12</v>
      </c>
      <c r="E365" s="102" t="n">
        <f aca="false">L__B!$E$365</f>
        <v>364</v>
      </c>
      <c r="F365" s="103" t="n">
        <f aca="false">calc!$AN$365</f>
        <v>278.425826562547</v>
      </c>
      <c r="G365" s="103" t="n">
        <f aca="false">IF(ABS(F365-F364)&lt;100,F365,"")</f>
        <v>278.425826562547</v>
      </c>
      <c r="H365" s="16" t="n">
        <f aca="false">calc!$X$365</f>
        <v>7.56428366360329</v>
      </c>
      <c r="I365" s="104" t="str">
        <f aca="false">IF(ABS(H365-H364)&lt;100,H365,"")</f>
        <v/>
      </c>
      <c r="J365" s="6" t="n">
        <f aca="false">calc!$Z$365</f>
        <v>-2.87296297525442</v>
      </c>
      <c r="K365" s="16" t="n">
        <f aca="false">10*J365</f>
        <v>-28.7296297525442</v>
      </c>
      <c r="L365" s="6" t="str">
        <f aca="false">IF(ABS(H365-F365)/17.4&lt;1,(H365-F365)/17.4,"")</f>
        <v/>
      </c>
      <c r="M365" s="6" t="str">
        <f aca="false">IF(ABS(J365)/1.58&lt;1,J365/1.58/1.58,"")</f>
        <v/>
      </c>
      <c r="N365" s="6" t="str">
        <f aca="false">IF(OR(L365="",M365=""),"",ABS(L365)+ABS(M365))</f>
        <v/>
      </c>
      <c r="O365" s="3" t="str">
        <f aca="false">IF(OR(L365="",M365=""),"","SE?")</f>
        <v/>
      </c>
    </row>
    <row r="366" customFormat="false" ht="17" hidden="false" customHeight="true" outlineLevel="0" collapsed="false">
      <c r="C366" s="2" t="n">
        <f aca="false">L__B!$C$366</f>
        <v>31</v>
      </c>
      <c r="D366" s="2" t="n">
        <f aca="false">L__B!$D$366</f>
        <v>12</v>
      </c>
      <c r="E366" s="102" t="n">
        <f aca="false">L__B!$E$366</f>
        <v>365</v>
      </c>
      <c r="F366" s="103" t="n">
        <f aca="false">calc!$AN$366</f>
        <v>279.41147392647</v>
      </c>
      <c r="G366" s="103" t="n">
        <f aca="false">IF(ABS(F366-F365)&lt;100,F366,"")</f>
        <v>279.41147392647</v>
      </c>
      <c r="H366" s="16" t="n">
        <f aca="false">calc!$X$366</f>
        <v>20.7925850264124</v>
      </c>
      <c r="I366" s="104" t="n">
        <f aca="false">IF(ABS(H366-H365)&lt;100,H366,"")</f>
        <v>20.7925850264124</v>
      </c>
      <c r="J366" s="6" t="n">
        <f aca="false">calc!$Z$366</f>
        <v>-1.8302473703225</v>
      </c>
      <c r="K366" s="16" t="n">
        <f aca="false">10*J366</f>
        <v>-18.302473703225</v>
      </c>
      <c r="L366" s="6" t="str">
        <f aca="false">IF(ABS(H366-F366)/17.4&lt;1,(H366-F366)/17.4,"")</f>
        <v/>
      </c>
      <c r="M366" s="6" t="str">
        <f aca="false">IF(ABS(J366)/1.58&lt;1,J366/1.58/1.58,"")</f>
        <v/>
      </c>
      <c r="N366" s="6" t="str">
        <f aca="false">IF(OR(L366="",M366=""),"",ABS(L366)+ABS(M366))</f>
        <v/>
      </c>
      <c r="O366" s="3" t="str">
        <f aca="false">IF(OR(L366="",M366=""),"","SE?")</f>
        <v/>
      </c>
    </row>
    <row r="367" customFormat="false" ht="17" hidden="false" customHeight="true" outlineLevel="0" collapsed="false">
      <c r="C367" s="2" t="n">
        <f aca="false">L__B!$C$367</f>
        <v>1</v>
      </c>
      <c r="D367" s="2" t="n">
        <f aca="false">L__B!$D$367</f>
        <v>13</v>
      </c>
      <c r="E367" s="102" t="n">
        <f aca="false">L__B!$E$367</f>
        <v>366</v>
      </c>
      <c r="F367" s="103" t="n">
        <f aca="false">calc!$AN$367</f>
        <v>280.397121290391</v>
      </c>
      <c r="G367" s="103" t="n">
        <f aca="false">IF(ABS(F367-F366)&lt;100,F367,"")</f>
        <v>280.397121290391</v>
      </c>
      <c r="H367" s="16" t="n">
        <f aca="false">calc!$X$367</f>
        <v>33.6597689909561</v>
      </c>
      <c r="I367" s="104" t="n">
        <f aca="false">IF(ABS(H367-H366)&lt;100,H367,"")</f>
        <v>33.6597689909561</v>
      </c>
      <c r="J367" s="6" t="n">
        <f aca="false">calc!$Z$367</f>
        <v>-0.720909893957177</v>
      </c>
      <c r="K367" s="16" t="n">
        <f aca="false">10*J367</f>
        <v>-7.20909893957177</v>
      </c>
      <c r="L367" s="6" t="str">
        <f aca="false">IF(ABS(H367-F367)/17.4&lt;1,(H367-F367)/17.4,"")</f>
        <v/>
      </c>
      <c r="M367" s="6" t="n">
        <f aca="false">IF(ABS(J367)/1.58&lt;1,J367/1.58/1.58,"")</f>
        <v>-0.288779800495584</v>
      </c>
      <c r="N367" s="6" t="str">
        <f aca="false">IF(OR(L367="",M367=""),"",ABS(L367)+ABS(M367))</f>
        <v/>
      </c>
      <c r="O367" s="3" t="str">
        <f aca="false">IF(OR(L367="",M367=""),"","SE?")</f>
        <v/>
      </c>
    </row>
    <row r="369" customFormat="false" ht="17" hidden="false" customHeight="true" outlineLevel="0" collapsed="false">
      <c r="J369" s="6" t="n">
        <f aca="false">calc!$Z$369</f>
        <v>-5.28057804125969</v>
      </c>
    </row>
    <row r="370" customFormat="false" ht="17" hidden="false" customHeight="true" outlineLevel="0" collapsed="false">
      <c r="J370" s="6" t="n">
        <f aca="false">calc!$Z$370</f>
        <v>5.27490317409464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&amp;C&amp;10&amp;Kffffff&amp;A</oddHeader>
    <oddFooter>&amp;C&amp;10&amp;KffffffSeite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3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625" defaultRowHeight="17.75" zeroHeight="false" outlineLevelRow="0" outlineLevelCol="0"/>
  <cols>
    <col collapsed="false" customWidth="false" hidden="false" outlineLevel="0" max="1" min="1" style="2" width="9.59"/>
    <col collapsed="false" customWidth="true" hidden="false" outlineLevel="0" max="2" min="2" style="2" width="11.16"/>
    <col collapsed="false" customWidth="true" hidden="false" outlineLevel="0" max="3" min="3" style="2" width="8.23"/>
    <col collapsed="false" customWidth="true" hidden="false" outlineLevel="0" max="5" min="4" style="2" width="8.01"/>
    <col collapsed="false" customWidth="true" hidden="false" outlineLevel="0" max="7" min="6" style="2" width="8.57"/>
    <col collapsed="false" customWidth="true" hidden="false" outlineLevel="0" max="8" min="8" style="6" width="8.23"/>
    <col collapsed="false" customWidth="true" hidden="false" outlineLevel="0" max="9" min="9" style="112" width="9.48"/>
    <col collapsed="false" customWidth="true" hidden="false" outlineLevel="0" max="10" min="10" style="103" width="9.48"/>
    <col collapsed="false" customWidth="true" hidden="false" outlineLevel="0" max="11" min="11" style="6" width="13.31"/>
    <col collapsed="false" customWidth="true" hidden="false" outlineLevel="0" max="12" min="12" style="6" width="13.64"/>
    <col collapsed="false" customWidth="false" hidden="false" outlineLevel="0" max="13" min="13" style="107" width="9.59"/>
    <col collapsed="false" customWidth="false" hidden="false" outlineLevel="0" max="64" min="14" style="1" width="9.59"/>
  </cols>
  <sheetData>
    <row r="1" customFormat="false" ht="17.75" hidden="false" customHeight="true" outlineLevel="0" collapsed="false">
      <c r="A1" s="3" t="str">
        <f aca="false">sol_ecl!$A$1</f>
        <v>UT</v>
      </c>
      <c r="B1" s="3" t="str">
        <f aca="false">sol_ecl!$B$1</f>
        <v>Year</v>
      </c>
      <c r="C1" s="105" t="str">
        <f aca="false">sol_ecl!$C$1</f>
        <v>Date</v>
      </c>
      <c r="D1" s="105" t="str">
        <f aca="false">sol_ecl!$D$1</f>
        <v>Month</v>
      </c>
      <c r="E1" s="105" t="str">
        <f aca="false">sol_ecl!$E$1</f>
        <v>Day</v>
      </c>
      <c r="F1" s="105" t="str">
        <f aca="false">calc!$AN$1</f>
        <v>Lsun</v>
      </c>
      <c r="G1" s="105" t="str">
        <f aca="false">sol_ecl!$H$1</f>
        <v>Lm</v>
      </c>
      <c r="H1" s="4" t="str">
        <f aca="false">calc!$Z$1</f>
        <v>Bm</v>
      </c>
      <c r="I1" s="113" t="s">
        <v>74</v>
      </c>
      <c r="J1" s="107" t="s">
        <v>79</v>
      </c>
      <c r="K1" s="4" t="s">
        <v>80</v>
      </c>
      <c r="L1" s="4" t="s">
        <v>81</v>
      </c>
      <c r="M1" s="107" t="s">
        <v>82</v>
      </c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customFormat="false" ht="17.75" hidden="false" customHeight="true" outlineLevel="0" collapsed="false">
      <c r="A2" s="103" t="n">
        <f aca="false">sol_ecl!$A$2</f>
        <v>0</v>
      </c>
      <c r="B2" s="8" t="n">
        <f aca="false">sol_ecl!$B$2</f>
        <v>2022</v>
      </c>
      <c r="C2" s="2" t="n">
        <f aca="false">sol_ecl!$C$2</f>
        <v>1</v>
      </c>
      <c r="D2" s="2" t="n">
        <f aca="false">sol_ecl!$D$2</f>
        <v>1</v>
      </c>
      <c r="E2" s="102" t="n">
        <f aca="false">sol_ecl!$E$2</f>
        <v>1</v>
      </c>
      <c r="F2" s="6" t="n">
        <f aca="false">calc!$AN$2</f>
        <v>280.635833489028</v>
      </c>
      <c r="G2" s="16" t="n">
        <f aca="false">sol_ecl!$H$2</f>
        <v>255.503500790361</v>
      </c>
      <c r="H2" s="6" t="n">
        <f aca="false">calc!$Z$2</f>
        <v>-1.28827268204613</v>
      </c>
      <c r="I2" s="112" t="n">
        <f aca="false">10*H2</f>
        <v>-12.8827268204613</v>
      </c>
      <c r="J2" s="103" t="n">
        <f aca="false">ABS(ABS(F2-G2)-180)</f>
        <v>154.867667301333</v>
      </c>
      <c r="K2" s="6" t="str">
        <f aca="false">IF(ABS(J2)/11.31&lt;1,J2/11.31,"")</f>
        <v/>
      </c>
      <c r="L2" s="6" t="str">
        <f aca="false">IF(ABS(H2)/1.067&lt;1,H2,"")</f>
        <v/>
      </c>
      <c r="M2" s="107" t="str">
        <f aca="false">IF(OR(K2="",L2=""),"",ABS(K2)+ABS(L2))</f>
        <v/>
      </c>
    </row>
    <row r="3" customFormat="false" ht="17.75" hidden="false" customHeight="true" outlineLevel="0" collapsed="false">
      <c r="C3" s="2" t="n">
        <f aca="false">sol_ecl!$C$3</f>
        <v>2</v>
      </c>
      <c r="D3" s="2" t="n">
        <f aca="false">sol_ecl!$D$3</f>
        <v>1</v>
      </c>
      <c r="E3" s="102" t="n">
        <f aca="false">sol_ecl!$E$3</f>
        <v>2</v>
      </c>
      <c r="F3" s="6" t="n">
        <f aca="false">calc!$AN$3</f>
        <v>281.621480852784</v>
      </c>
      <c r="G3" s="16" t="n">
        <f aca="false">sol_ecl!$H$3</f>
        <v>270.630280687013</v>
      </c>
      <c r="H3" s="6" t="n">
        <f aca="false">calc!$Z$3</f>
        <v>-2.55508761166881</v>
      </c>
      <c r="I3" s="112" t="n">
        <f aca="false">10*H3</f>
        <v>-25.5508761166881</v>
      </c>
      <c r="J3" s="103" t="n">
        <f aca="false">ABS(ABS(F3-G3)-180)</f>
        <v>169.008799834229</v>
      </c>
      <c r="K3" s="6" t="str">
        <f aca="false">IF(ABS(J3)/11.31&lt;1,J3/11.31,"")</f>
        <v/>
      </c>
      <c r="L3" s="6" t="str">
        <f aca="false">IF(ABS(H3)/1.067&lt;1,H3,"")</f>
        <v/>
      </c>
      <c r="M3" s="107" t="str">
        <f aca="false">IF(OR(K3="",L3=""),"",ABS(K3)+ABS(L3))</f>
        <v/>
      </c>
    </row>
    <row r="4" customFormat="false" ht="17.75" hidden="false" customHeight="true" outlineLevel="0" collapsed="false">
      <c r="B4" s="9" t="str">
        <f aca="false">sol_ecl!$B$4</f>
        <v>common year</v>
      </c>
      <c r="C4" s="2" t="n">
        <f aca="false">sol_ecl!$C$4</f>
        <v>3</v>
      </c>
      <c r="D4" s="2" t="n">
        <f aca="false">sol_ecl!$D$4</f>
        <v>1</v>
      </c>
      <c r="E4" s="102" t="n">
        <f aca="false">sol_ecl!$E$4</f>
        <v>3</v>
      </c>
      <c r="F4" s="6" t="n">
        <f aca="false">calc!$AN$4</f>
        <v>282.607128216541</v>
      </c>
      <c r="G4" s="16" t="n">
        <f aca="false">sol_ecl!$H$4</f>
        <v>285.774196974343</v>
      </c>
      <c r="H4" s="6" t="n">
        <f aca="false">calc!$Z$4</f>
        <v>-3.64005114031867</v>
      </c>
      <c r="I4" s="112" t="n">
        <f aca="false">10*H4</f>
        <v>-36.4005114031867</v>
      </c>
      <c r="J4" s="103" t="n">
        <f aca="false">ABS(ABS(F4-G4)-180)</f>
        <v>176.832931242198</v>
      </c>
      <c r="K4" s="6" t="str">
        <f aca="false">IF(ABS(J4)/11.31&lt;1,J4/11.31,"")</f>
        <v/>
      </c>
      <c r="L4" s="6" t="str">
        <f aca="false">IF(ABS(H4)/1.067&lt;1,H4,"")</f>
        <v/>
      </c>
      <c r="M4" s="107" t="str">
        <f aca="false">IF(OR(K4="",L4=""),"",ABS(K4)+ABS(L4))</f>
        <v/>
      </c>
    </row>
    <row r="5" customFormat="false" ht="17.75" hidden="false" customHeight="true" outlineLevel="0" collapsed="false">
      <c r="C5" s="2" t="n">
        <f aca="false">sol_ecl!$C$5</f>
        <v>4</v>
      </c>
      <c r="D5" s="2" t="n">
        <f aca="false">sol_ecl!$D$5</f>
        <v>1</v>
      </c>
      <c r="E5" s="102" t="n">
        <f aca="false">sol_ecl!$E$5</f>
        <v>4</v>
      </c>
      <c r="F5" s="6" t="n">
        <f aca="false">calc!$AN$5</f>
        <v>283.592775580299</v>
      </c>
      <c r="G5" s="16" t="n">
        <f aca="false">sol_ecl!$H$5</f>
        <v>300.777616038617</v>
      </c>
      <c r="H5" s="6" t="n">
        <f aca="false">calc!$Z$5</f>
        <v>-4.46078950765045</v>
      </c>
      <c r="I5" s="112" t="n">
        <f aca="false">10*H5</f>
        <v>-44.6078950765045</v>
      </c>
      <c r="J5" s="103" t="n">
        <f aca="false">ABS(ABS(F5-G5)-180)</f>
        <v>162.815159541682</v>
      </c>
      <c r="K5" s="6" t="str">
        <f aca="false">IF(ABS(J5)/11.31&lt;1,J5/11.31,"")</f>
        <v/>
      </c>
      <c r="L5" s="6" t="str">
        <f aca="false">IF(ABS(H5)/1.067&lt;1,H5,"")</f>
        <v/>
      </c>
      <c r="M5" s="107" t="str">
        <f aca="false">IF(OR(K5="",L5=""),"",ABS(K5)+ABS(L5))</f>
        <v/>
      </c>
    </row>
    <row r="6" customFormat="false" ht="17.75" hidden="false" customHeight="true" outlineLevel="0" collapsed="false">
      <c r="A6" s="87" t="s">
        <v>70</v>
      </c>
      <c r="C6" s="2" t="n">
        <f aca="false">sol_ecl!$C$6</f>
        <v>5</v>
      </c>
      <c r="D6" s="2" t="n">
        <f aca="false">sol_ecl!$D$6</f>
        <v>1</v>
      </c>
      <c r="E6" s="102" t="n">
        <f aca="false">sol_ecl!$E$6</f>
        <v>5</v>
      </c>
      <c r="F6" s="6" t="n">
        <f aca="false">calc!$AN$6</f>
        <v>284.578422944058</v>
      </c>
      <c r="G6" s="16" t="n">
        <f aca="false">sol_ecl!$H$6</f>
        <v>315.495865837717</v>
      </c>
      <c r="H6" s="6" t="n">
        <f aca="false">calc!$Z$6</f>
        <v>-4.96752173632252</v>
      </c>
      <c r="I6" s="112" t="n">
        <f aca="false">10*H6</f>
        <v>-49.6752173632252</v>
      </c>
      <c r="J6" s="103" t="n">
        <f aca="false">ABS(ABS(F6-G6)-180)</f>
        <v>149.082557106341</v>
      </c>
      <c r="K6" s="6" t="str">
        <f aca="false">IF(ABS(J6)/11.31&lt;1,J6/11.31,"")</f>
        <v/>
      </c>
      <c r="L6" s="6" t="str">
        <f aca="false">IF(ABS(H6)/1.067&lt;1,H6,"")</f>
        <v/>
      </c>
      <c r="M6" s="107" t="str">
        <f aca="false">IF(OR(K6="",L6=""),"",ABS(K6)+ABS(L6))</f>
        <v/>
      </c>
    </row>
    <row r="7" customFormat="false" ht="17.75" hidden="false" customHeight="true" outlineLevel="0" collapsed="false">
      <c r="A7" s="111" t="s">
        <v>71</v>
      </c>
      <c r="C7" s="2" t="n">
        <f aca="false">sol_ecl!$C$7</f>
        <v>6</v>
      </c>
      <c r="D7" s="2" t="n">
        <f aca="false">sol_ecl!$D$7</f>
        <v>1</v>
      </c>
      <c r="E7" s="102" t="n">
        <f aca="false">sol_ecl!$E$7</f>
        <v>6</v>
      </c>
      <c r="F7" s="6" t="n">
        <f aca="false">calc!$AN$7</f>
        <v>285.564070307815</v>
      </c>
      <c r="G7" s="16" t="n">
        <f aca="false">sol_ecl!$H$7</f>
        <v>329.816304134304</v>
      </c>
      <c r="H7" s="6" t="n">
        <f aca="false">calc!$Z$7</f>
        <v>-5.14672355850508</v>
      </c>
      <c r="I7" s="112" t="n">
        <f aca="false">10*H7</f>
        <v>-51.4672355850508</v>
      </c>
      <c r="J7" s="103" t="n">
        <f aca="false">ABS(ABS(F7-G7)-180)</f>
        <v>135.747766173511</v>
      </c>
      <c r="K7" s="6" t="str">
        <f aca="false">IF(ABS(J7)/11.31&lt;1,J7/11.31,"")</f>
        <v/>
      </c>
      <c r="L7" s="6" t="str">
        <f aca="false">IF(ABS(H7)/1.067&lt;1,H7,"")</f>
        <v/>
      </c>
      <c r="M7" s="107" t="str">
        <f aca="false">IF(OR(K7="",L7=""),"",ABS(K7)+ABS(L7))</f>
        <v/>
      </c>
    </row>
    <row r="8" customFormat="false" ht="17.75" hidden="false" customHeight="true" outlineLevel="0" collapsed="false">
      <c r="C8" s="2" t="n">
        <f aca="false">sol_ecl!$C$8</f>
        <v>7</v>
      </c>
      <c r="D8" s="2" t="n">
        <f aca="false">sol_ecl!$D$8</f>
        <v>1</v>
      </c>
      <c r="E8" s="102" t="n">
        <f aca="false">sol_ecl!$E$8</f>
        <v>7</v>
      </c>
      <c r="F8" s="6" t="n">
        <f aca="false">calc!$AN$8</f>
        <v>286.549717671578</v>
      </c>
      <c r="G8" s="16" t="n">
        <f aca="false">sol_ecl!$H$8</f>
        <v>343.670941532728</v>
      </c>
      <c r="H8" s="6" t="n">
        <f aca="false">calc!$Z$8</f>
        <v>-5.0159370933491</v>
      </c>
      <c r="I8" s="112" t="n">
        <f aca="false">10*H8</f>
        <v>-50.1593709334911</v>
      </c>
      <c r="J8" s="103" t="n">
        <f aca="false">ABS(ABS(F8-G8)-180)</f>
        <v>122.87877613885</v>
      </c>
      <c r="K8" s="6" t="str">
        <f aca="false">IF(ABS(J8)/11.31&lt;1,J8/11.31,"")</f>
        <v/>
      </c>
      <c r="L8" s="6" t="str">
        <f aca="false">IF(ABS(H8)/1.067&lt;1,H8,"")</f>
        <v/>
      </c>
      <c r="M8" s="107" t="str">
        <f aca="false">IF(OR(K8="",L8=""),"",ABS(K8)+ABS(L8))</f>
        <v/>
      </c>
    </row>
    <row r="9" customFormat="false" ht="17.75" hidden="false" customHeight="true" outlineLevel="0" collapsed="false">
      <c r="C9" s="2" t="n">
        <f aca="false">sol_ecl!$C$9</f>
        <v>8</v>
      </c>
      <c r="D9" s="2" t="n">
        <f aca="false">sol_ecl!$D$9</f>
        <v>1</v>
      </c>
      <c r="E9" s="102" t="n">
        <f aca="false">sol_ecl!$E$9</f>
        <v>8</v>
      </c>
      <c r="F9" s="6" t="n">
        <f aca="false">calc!$AN$9</f>
        <v>287.535365035335</v>
      </c>
      <c r="G9" s="16" t="n">
        <f aca="false">sol_ecl!$H$9</f>
        <v>357.040560046742</v>
      </c>
      <c r="H9" s="6" t="n">
        <f aca="false">calc!$Z$9</f>
        <v>-4.61334322548896</v>
      </c>
      <c r="I9" s="112" t="n">
        <f aca="false">10*H9</f>
        <v>-46.1334322548896</v>
      </c>
      <c r="J9" s="103" t="n">
        <f aca="false">ABS(ABS(F9-G9)-180)</f>
        <v>110.494804988594</v>
      </c>
      <c r="K9" s="6" t="str">
        <f aca="false">IF(ABS(J9)/11.31&lt;1,J9/11.31,"")</f>
        <v/>
      </c>
      <c r="L9" s="6" t="str">
        <f aca="false">IF(ABS(H9)/1.067&lt;1,H9,"")</f>
        <v/>
      </c>
      <c r="M9" s="107" t="str">
        <f aca="false">IF(OR(K9="",L9=""),"",ABS(K9)+ABS(L9))</f>
        <v/>
      </c>
    </row>
    <row r="10" customFormat="false" ht="17.75" hidden="false" customHeight="true" outlineLevel="0" collapsed="false">
      <c r="C10" s="2" t="n">
        <f aca="false">sol_ecl!$C$10</f>
        <v>9</v>
      </c>
      <c r="D10" s="2" t="n">
        <f aca="false">sol_ecl!$D$10</f>
        <v>1</v>
      </c>
      <c r="E10" s="102" t="n">
        <f aca="false">sol_ecl!$E$10</f>
        <v>9</v>
      </c>
      <c r="F10" s="6" t="n">
        <f aca="false">calc!$AN$10</f>
        <v>288.521012399095</v>
      </c>
      <c r="G10" s="16" t="n">
        <f aca="false">sol_ecl!$H$10</f>
        <v>9.95057808894471</v>
      </c>
      <c r="H10" s="6" t="n">
        <f aca="false">calc!$Z$10</f>
        <v>-3.98682328667054</v>
      </c>
      <c r="I10" s="112" t="n">
        <f aca="false">10*H10</f>
        <v>-39.8682328667054</v>
      </c>
      <c r="J10" s="103" t="n">
        <f aca="false">ABS(ABS(F10-G10)-180)</f>
        <v>98.5704343101499</v>
      </c>
      <c r="K10" s="6" t="str">
        <f aca="false">IF(ABS(J10)/11.31&lt;1,J10/11.31,"")</f>
        <v/>
      </c>
      <c r="L10" s="6" t="str">
        <f aca="false">IF(ABS(H10)/1.067&lt;1,H10,"")</f>
        <v/>
      </c>
      <c r="M10" s="107" t="str">
        <f aca="false">IF(OR(K10="",L10=""),"",ABS(K10)+ABS(L10))</f>
        <v/>
      </c>
    </row>
    <row r="11" customFormat="false" ht="17.75" hidden="false" customHeight="true" outlineLevel="0" collapsed="false">
      <c r="C11" s="2" t="n">
        <f aca="false">sol_ecl!$C$11</f>
        <v>10</v>
      </c>
      <c r="D11" s="2" t="n">
        <f aca="false">sol_ecl!$D$11</f>
        <v>1</v>
      </c>
      <c r="E11" s="102" t="n">
        <f aca="false">sol_ecl!$E$11</f>
        <v>10</v>
      </c>
      <c r="F11" s="6" t="n">
        <f aca="false">calc!$AN$11</f>
        <v>289.506659762856</v>
      </c>
      <c r="G11" s="16" t="n">
        <f aca="false">sol_ecl!$H$11</f>
        <v>22.4608825404082</v>
      </c>
      <c r="H11" s="6" t="n">
        <f aca="false">calc!$Z$11</f>
        <v>-3.18590773425046</v>
      </c>
      <c r="I11" s="112" t="n">
        <f aca="false">10*H11</f>
        <v>-31.8590773425046</v>
      </c>
      <c r="J11" s="103" t="n">
        <f aca="false">ABS(ABS(F11-G11)-180)</f>
        <v>87.0457772224474</v>
      </c>
      <c r="K11" s="6" t="str">
        <f aca="false">IF(ABS(J11)/11.31&lt;1,J11/11.31,"")</f>
        <v/>
      </c>
      <c r="L11" s="6" t="str">
        <f aca="false">IF(ABS(H11)/1.067&lt;1,H11,"")</f>
        <v/>
      </c>
      <c r="M11" s="107" t="str">
        <f aca="false">IF(OR(K11="",L11=""),"",ABS(K11)+ABS(L11))</f>
        <v/>
      </c>
    </row>
    <row r="12" customFormat="false" ht="17.75" hidden="false" customHeight="true" outlineLevel="0" collapsed="false">
      <c r="C12" s="2" t="n">
        <f aca="false">sol_ecl!$C$12</f>
        <v>11</v>
      </c>
      <c r="D12" s="2" t="n">
        <f aca="false">sol_ecl!$D$12</f>
        <v>1</v>
      </c>
      <c r="E12" s="102" t="n">
        <f aca="false">sol_ecl!$E$12</f>
        <v>11</v>
      </c>
      <c r="F12" s="6" t="n">
        <f aca="false">calc!$AN$12</f>
        <v>290.492307126617</v>
      </c>
      <c r="G12" s="16" t="n">
        <f aca="false">sol_ecl!$H$12</f>
        <v>34.6528908100701</v>
      </c>
      <c r="H12" s="6" t="n">
        <f aca="false">calc!$Z$12</f>
        <v>-2.25770665972653</v>
      </c>
      <c r="I12" s="112" t="n">
        <f aca="false">10*H12</f>
        <v>-22.5770665972653</v>
      </c>
      <c r="J12" s="103" t="n">
        <f aca="false">ABS(ABS(F12-G12)-180)</f>
        <v>75.8394163165466</v>
      </c>
      <c r="K12" s="6" t="str">
        <f aca="false">IF(ABS(J12)/11.31&lt;1,J12/11.31,"")</f>
        <v/>
      </c>
      <c r="L12" s="6" t="str">
        <f aca="false">IF(ABS(H12)/1.067&lt;1,H12,"")</f>
        <v/>
      </c>
      <c r="M12" s="107" t="str">
        <f aca="false">IF(OR(K12="",L12=""),"",ABS(K12)+ABS(L12))</f>
        <v/>
      </c>
    </row>
    <row r="13" customFormat="false" ht="17.75" hidden="false" customHeight="true" outlineLevel="0" collapsed="false">
      <c r="C13" s="2" t="n">
        <f aca="false">sol_ecl!$C$13</f>
        <v>12</v>
      </c>
      <c r="D13" s="2" t="n">
        <f aca="false">sol_ecl!$D$13</f>
        <v>1</v>
      </c>
      <c r="E13" s="102" t="n">
        <f aca="false">sol_ecl!$E$13</f>
        <v>12</v>
      </c>
      <c r="F13" s="6" t="n">
        <f aca="false">calc!$AN$13</f>
        <v>291.477954490376</v>
      </c>
      <c r="G13" s="16" t="n">
        <f aca="false">sol_ecl!$H$13</f>
        <v>46.6170136719149</v>
      </c>
      <c r="H13" s="6" t="n">
        <f aca="false">calc!$Z$13</f>
        <v>-1.2460832063634</v>
      </c>
      <c r="I13" s="112" t="n">
        <f aca="false">10*H13</f>
        <v>-12.460832063634</v>
      </c>
      <c r="J13" s="103" t="n">
        <f aca="false">ABS(ABS(F13-G13)-180)</f>
        <v>64.860940818461</v>
      </c>
      <c r="K13" s="6" t="str">
        <f aca="false">IF(ABS(J13)/11.31&lt;1,J13/11.31,"")</f>
        <v/>
      </c>
      <c r="L13" s="6" t="str">
        <f aca="false">IF(ABS(H13)/1.067&lt;1,H13,"")</f>
        <v/>
      </c>
      <c r="M13" s="107" t="str">
        <f aca="false">IF(OR(K13="",L13=""),"",ABS(K13)+ABS(L13))</f>
        <v/>
      </c>
    </row>
    <row r="14" customFormat="false" ht="17.75" hidden="false" customHeight="true" outlineLevel="0" collapsed="false">
      <c r="C14" s="2" t="n">
        <f aca="false">sol_ecl!$C$14</f>
        <v>13</v>
      </c>
      <c r="D14" s="2" t="n">
        <f aca="false">sol_ecl!$D$14</f>
        <v>1</v>
      </c>
      <c r="E14" s="102" t="n">
        <f aca="false">sol_ecl!$E$14</f>
        <v>13</v>
      </c>
      <c r="F14" s="6" t="n">
        <f aca="false">calc!$AN$14</f>
        <v>292.463601854137</v>
      </c>
      <c r="G14" s="16" t="n">
        <f aca="false">sol_ecl!$H$14</f>
        <v>58.4426830689097</v>
      </c>
      <c r="H14" s="6" t="n">
        <f aca="false">calc!$Z$14</f>
        <v>-0.192567319054914</v>
      </c>
      <c r="I14" s="112" t="n">
        <f aca="false">10*H14</f>
        <v>-1.92567319054914</v>
      </c>
      <c r="J14" s="103" t="n">
        <f aca="false">ABS(ABS(F14-G14)-180)</f>
        <v>54.0209187852272</v>
      </c>
      <c r="K14" s="6" t="str">
        <f aca="false">IF(ABS(J14)/11.31&lt;1,J14/11.31,"")</f>
        <v/>
      </c>
      <c r="L14" s="6" t="n">
        <f aca="false">IF(ABS(H14)/1.067&lt;1,H14,"")</f>
        <v>-0.192567319054914</v>
      </c>
      <c r="M14" s="107" t="str">
        <f aca="false">IF(OR(K14="",L14=""),"",ABS(K14)+ABS(L14))</f>
        <v/>
      </c>
    </row>
    <row r="15" customFormat="false" ht="17.75" hidden="false" customHeight="true" outlineLevel="0" collapsed="false">
      <c r="C15" s="2" t="n">
        <f aca="false">sol_ecl!$C$15</f>
        <v>14</v>
      </c>
      <c r="D15" s="2" t="n">
        <f aca="false">sol_ecl!$D$15</f>
        <v>1</v>
      </c>
      <c r="E15" s="102" t="n">
        <f aca="false">sol_ecl!$E$15</f>
        <v>14</v>
      </c>
      <c r="F15" s="6" t="n">
        <f aca="false">calc!$AN$15</f>
        <v>293.4492492179</v>
      </c>
      <c r="G15" s="16" t="n">
        <f aca="false">sol_ecl!$H$15</f>
        <v>70.2117128915543</v>
      </c>
      <c r="H15" s="6" t="n">
        <f aca="false">calc!$Z$15</f>
        <v>0.862355725967563</v>
      </c>
      <c r="I15" s="112" t="n">
        <f aca="false">10*H15</f>
        <v>8.62355725967563</v>
      </c>
      <c r="J15" s="103" t="n">
        <f aca="false">ABS(ABS(F15-G15)-180)</f>
        <v>43.2375363263454</v>
      </c>
      <c r="K15" s="6" t="str">
        <f aca="false">IF(ABS(J15)/11.31&lt;1,J15/11.31,"")</f>
        <v/>
      </c>
      <c r="L15" s="6" t="n">
        <f aca="false">IF(ABS(H15)/1.067&lt;1,H15,"")</f>
        <v>0.862355725967563</v>
      </c>
      <c r="M15" s="107" t="str">
        <f aca="false">IF(OR(K15="",L15=""),"",ABS(K15)+ABS(L15))</f>
        <v/>
      </c>
    </row>
    <row r="16" customFormat="false" ht="17.75" hidden="false" customHeight="true" outlineLevel="0" collapsed="false">
      <c r="C16" s="2" t="n">
        <f aca="false">sol_ecl!$C$16</f>
        <v>15</v>
      </c>
      <c r="D16" s="2" t="n">
        <f aca="false">sol_ecl!$D$16</f>
        <v>1</v>
      </c>
      <c r="E16" s="102" t="n">
        <f aca="false">sol_ecl!$E$16</f>
        <v>15</v>
      </c>
      <c r="F16" s="6" t="n">
        <f aca="false">calc!$AN$16</f>
        <v>294.434896581663</v>
      </c>
      <c r="G16" s="16" t="n">
        <f aca="false">sol_ecl!$H$16</f>
        <v>81.9945707121534</v>
      </c>
      <c r="H16" s="6" t="n">
        <f aca="false">calc!$Z$16</f>
        <v>1.87839746641635</v>
      </c>
      <c r="I16" s="112" t="n">
        <f aca="false">10*H16</f>
        <v>18.7839746641635</v>
      </c>
      <c r="J16" s="103" t="n">
        <f aca="false">ABS(ABS(F16-G16)-180)</f>
        <v>32.4403258695091</v>
      </c>
      <c r="K16" s="6" t="str">
        <f aca="false">IF(ABS(J16)/11.31&lt;1,J16/11.31,"")</f>
        <v/>
      </c>
      <c r="L16" s="6" t="str">
        <f aca="false">IF(ABS(H16)/1.067&lt;1,H16,"")</f>
        <v/>
      </c>
      <c r="M16" s="107" t="str">
        <f aca="false">IF(OR(K16="",L16=""),"",ABS(K16)+ABS(L16))</f>
        <v/>
      </c>
    </row>
    <row r="17" customFormat="false" ht="17.75" hidden="false" customHeight="true" outlineLevel="0" collapsed="false">
      <c r="C17" s="2" t="n">
        <f aca="false">sol_ecl!$C$17</f>
        <v>16</v>
      </c>
      <c r="D17" s="2" t="n">
        <f aca="false">sol_ecl!$D$17</f>
        <v>1</v>
      </c>
      <c r="E17" s="102" t="n">
        <f aca="false">sol_ecl!$E$17</f>
        <v>16</v>
      </c>
      <c r="F17" s="6" t="n">
        <f aca="false">calc!$AN$17</f>
        <v>295.420543945425</v>
      </c>
      <c r="G17" s="16" t="n">
        <f aca="false">sol_ecl!$H$17</f>
        <v>93.8485741940223</v>
      </c>
      <c r="H17" s="6" t="n">
        <f aca="false">calc!$Z$17</f>
        <v>2.81534585577153</v>
      </c>
      <c r="I17" s="112" t="n">
        <f aca="false">10*H17</f>
        <v>28.1534585577153</v>
      </c>
      <c r="J17" s="103" t="n">
        <f aca="false">ABS(ABS(F17-G17)-180)</f>
        <v>21.5719697514031</v>
      </c>
      <c r="K17" s="6" t="str">
        <f aca="false">IF(ABS(J17)/11.31&lt;1,J17/11.31,"")</f>
        <v/>
      </c>
      <c r="L17" s="6" t="str">
        <f aca="false">IF(ABS(H17)/1.067&lt;1,H17,"")</f>
        <v/>
      </c>
      <c r="M17" s="107" t="str">
        <f aca="false">IF(OR(K17="",L17=""),"",ABS(K17)+ABS(L17))</f>
        <v/>
      </c>
    </row>
    <row r="18" customFormat="false" ht="17.75" hidden="false" customHeight="true" outlineLevel="0" collapsed="false">
      <c r="C18" s="2" t="n">
        <f aca="false">sol_ecl!$C$18</f>
        <v>17</v>
      </c>
      <c r="D18" s="2" t="n">
        <f aca="false">sol_ecl!$D$18</f>
        <v>1</v>
      </c>
      <c r="E18" s="102" t="n">
        <f aca="false">sol_ecl!$E$18</f>
        <v>17</v>
      </c>
      <c r="F18" s="6" t="n">
        <f aca="false">calc!$AN$18</f>
        <v>296.406191309188</v>
      </c>
      <c r="G18" s="16" t="n">
        <f aca="false">sol_ecl!$H$18</f>
        <v>105.81717307145</v>
      </c>
      <c r="H18" s="6" t="n">
        <f aca="false">calc!$Z$18</f>
        <v>3.63366432594681</v>
      </c>
      <c r="I18" s="112" t="n">
        <f aca="false">10*H18</f>
        <v>36.3366432594681</v>
      </c>
      <c r="J18" s="103" t="n">
        <f aca="false">ABS(ABS(F18-G18)-180)</f>
        <v>10.5890182377378</v>
      </c>
      <c r="K18" s="6" t="n">
        <f aca="false">IF(ABS(J18)/11.31&lt;1,J18/11.31,"")</f>
        <v>0.936252717748703</v>
      </c>
      <c r="L18" s="6" t="str">
        <f aca="false">IF(ABS(H18)/1.067&lt;1,H18,"")</f>
        <v/>
      </c>
      <c r="M18" s="107" t="str">
        <f aca="false">IF(OR(K18="",L18=""),"",ABS(K18)+ABS(L18))</f>
        <v/>
      </c>
    </row>
    <row r="19" customFormat="false" ht="17.75" hidden="false" customHeight="true" outlineLevel="0" collapsed="false">
      <c r="C19" s="2" t="n">
        <f aca="false">sol_ecl!$C$19</f>
        <v>18</v>
      </c>
      <c r="D19" s="2" t="n">
        <f aca="false">sol_ecl!$D$19</f>
        <v>1</v>
      </c>
      <c r="E19" s="102" t="n">
        <f aca="false">sol_ecl!$E$19</f>
        <v>18</v>
      </c>
      <c r="F19" s="6" t="n">
        <f aca="false">calc!$AN$19</f>
        <v>297.391838672953</v>
      </c>
      <c r="G19" s="16" t="n">
        <f aca="false">sol_ecl!$H$19</f>
        <v>117.930081347734</v>
      </c>
      <c r="H19" s="6" t="n">
        <f aca="false">calc!$Z$19</f>
        <v>4.29572213224921</v>
      </c>
      <c r="I19" s="112" t="n">
        <f aca="false">10*H19</f>
        <v>42.9572213224921</v>
      </c>
      <c r="J19" s="103" t="n">
        <f aca="false">ABS(ABS(F19-G19)-180)</f>
        <v>0.53824267478069</v>
      </c>
      <c r="K19" s="6" t="n">
        <f aca="false">IF(ABS(J19)/11.31&lt;1,J19/11.31,"")</f>
        <v>0.04758998008671</v>
      </c>
      <c r="L19" s="6" t="str">
        <f aca="false">IF(ABS(H19)/1.067&lt;1,H19,"")</f>
        <v/>
      </c>
      <c r="M19" s="107" t="str">
        <f aca="false">IF(OR(K19="",L19=""),"",ABS(K19)+ABS(L19))</f>
        <v/>
      </c>
    </row>
    <row r="20" customFormat="false" ht="17.75" hidden="false" customHeight="true" outlineLevel="0" collapsed="false">
      <c r="C20" s="2" t="n">
        <f aca="false">sol_ecl!$C$20</f>
        <v>19</v>
      </c>
      <c r="D20" s="2" t="n">
        <f aca="false">sol_ecl!$D$20</f>
        <v>1</v>
      </c>
      <c r="E20" s="102" t="n">
        <f aca="false">sol_ecl!$E$20</f>
        <v>19</v>
      </c>
      <c r="F20" s="6" t="n">
        <f aca="false">calc!$AN$20</f>
        <v>298.377486036719</v>
      </c>
      <c r="G20" s="16" t="n">
        <f aca="false">sol_ecl!$H$20</f>
        <v>130.204631226459</v>
      </c>
      <c r="H20" s="6" t="n">
        <f aca="false">calc!$Z$20</f>
        <v>4.76755123613836</v>
      </c>
      <c r="I20" s="112" t="n">
        <f aca="false">10*H20</f>
        <v>47.6755123613836</v>
      </c>
      <c r="J20" s="103" t="n">
        <f aca="false">ABS(ABS(F20-G20)-180)</f>
        <v>11.8271451897392</v>
      </c>
      <c r="K20" s="6" t="str">
        <f aca="false">IF(ABS(J20)/11.31&lt;1,J20/11.31,"")</f>
        <v/>
      </c>
      <c r="L20" s="6" t="str">
        <f aca="false">IF(ABS(H20)/1.067&lt;1,H20,"")</f>
        <v/>
      </c>
      <c r="M20" s="107" t="str">
        <f aca="false">IF(OR(K20="",L20=""),"",ABS(K20)+ABS(L20))</f>
        <v/>
      </c>
    </row>
    <row r="21" customFormat="false" ht="17.75" hidden="false" customHeight="true" outlineLevel="0" collapsed="false">
      <c r="C21" s="2" t="n">
        <f aca="false">sol_ecl!$C$21</f>
        <v>20</v>
      </c>
      <c r="D21" s="2" t="n">
        <f aca="false">sol_ecl!$D$21</f>
        <v>1</v>
      </c>
      <c r="E21" s="102" t="n">
        <f aca="false">sol_ecl!$E$21</f>
        <v>20</v>
      </c>
      <c r="F21" s="6" t="n">
        <f aca="false">calc!$AN$21</f>
        <v>299.363133400482</v>
      </c>
      <c r="G21" s="16" t="n">
        <f aca="false">sol_ecl!$H$21</f>
        <v>142.648903313803</v>
      </c>
      <c r="H21" s="6" t="n">
        <f aca="false">calc!$Z$21</f>
        <v>5.02094376415562</v>
      </c>
      <c r="I21" s="112" t="n">
        <f aca="false">10*H21</f>
        <v>50.2094376415562</v>
      </c>
      <c r="J21" s="103" t="n">
        <f aca="false">ABS(ABS(F21-G21)-180)</f>
        <v>23.2857699133207</v>
      </c>
      <c r="K21" s="6" t="str">
        <f aca="false">IF(ABS(J21)/11.31&lt;1,J21/11.31,"")</f>
        <v/>
      </c>
      <c r="L21" s="6" t="str">
        <f aca="false">IF(ABS(H21)/1.067&lt;1,H21,"")</f>
        <v/>
      </c>
      <c r="M21" s="107" t="str">
        <f aca="false">IF(OR(K21="",L21=""),"",ABS(K21)+ABS(L21))</f>
        <v/>
      </c>
    </row>
    <row r="22" customFormat="false" ht="17.75" hidden="false" customHeight="true" outlineLevel="0" collapsed="false">
      <c r="C22" s="2" t="n">
        <f aca="false">sol_ecl!$C$22</f>
        <v>21</v>
      </c>
      <c r="D22" s="2" t="n">
        <f aca="false">sol_ecl!$D$22</f>
        <v>1</v>
      </c>
      <c r="E22" s="102" t="n">
        <f aca="false">sol_ecl!$E$22</f>
        <v>21</v>
      </c>
      <c r="F22" s="6" t="n">
        <f aca="false">calc!$AN$22</f>
        <v>300.348780764247</v>
      </c>
      <c r="G22" s="16" t="n">
        <f aca="false">sol_ecl!$H$22</f>
        <v>155.266754702329</v>
      </c>
      <c r="H22" s="6" t="n">
        <f aca="false">calc!$Z$22</f>
        <v>5.03557015809638</v>
      </c>
      <c r="I22" s="112" t="n">
        <f aca="false">10*H22</f>
        <v>50.3557015809638</v>
      </c>
      <c r="J22" s="103" t="n">
        <f aca="false">ABS(ABS(F22-G22)-180)</f>
        <v>34.9179739380825</v>
      </c>
      <c r="K22" s="6" t="str">
        <f aca="false">IF(ABS(J22)/11.31&lt;1,J22/11.31,"")</f>
        <v/>
      </c>
      <c r="L22" s="6" t="str">
        <f aca="false">IF(ABS(H22)/1.067&lt;1,H22,"")</f>
        <v/>
      </c>
      <c r="M22" s="107" t="str">
        <f aca="false">IF(OR(K22="",L22=""),"",ABS(K22)+ABS(L22))</f>
        <v/>
      </c>
    </row>
    <row r="23" customFormat="false" ht="17.75" hidden="false" customHeight="true" outlineLevel="0" collapsed="false">
      <c r="C23" s="2" t="n">
        <f aca="false">sol_ecl!$C$23</f>
        <v>22</v>
      </c>
      <c r="D23" s="2" t="n">
        <f aca="false">sol_ecl!$D$23</f>
        <v>1</v>
      </c>
      <c r="E23" s="102" t="n">
        <f aca="false">sol_ecl!$E$23</f>
        <v>22</v>
      </c>
      <c r="F23" s="6" t="n">
        <f aca="false">calc!$AN$23</f>
        <v>301.334428128012</v>
      </c>
      <c r="G23" s="16" t="n">
        <f aca="false">sol_ecl!$H$23</f>
        <v>168.063960275462</v>
      </c>
      <c r="H23" s="6" t="n">
        <f aca="false">calc!$Z$23</f>
        <v>4.80075589054025</v>
      </c>
      <c r="I23" s="112" t="n">
        <f aca="false">10*H23</f>
        <v>48.0075589054025</v>
      </c>
      <c r="J23" s="103" t="n">
        <f aca="false">ABS(ABS(F23-G23)-180)</f>
        <v>46.7295321474504</v>
      </c>
      <c r="K23" s="6" t="str">
        <f aca="false">IF(ABS(J23)/11.31&lt;1,J23/11.31,"")</f>
        <v/>
      </c>
      <c r="L23" s="6" t="str">
        <f aca="false">IF(ABS(H23)/1.067&lt;1,H23,"")</f>
        <v/>
      </c>
      <c r="M23" s="107" t="str">
        <f aca="false">IF(OR(K23="",L23=""),"",ABS(K23)+ABS(L23))</f>
        <v/>
      </c>
    </row>
    <row r="24" customFormat="false" ht="17.75" hidden="false" customHeight="true" outlineLevel="0" collapsed="false">
      <c r="C24" s="2" t="n">
        <f aca="false">sol_ecl!$C$24</f>
        <v>23</v>
      </c>
      <c r="D24" s="2" t="n">
        <f aca="false">sol_ecl!$D$24</f>
        <v>1</v>
      </c>
      <c r="E24" s="102" t="n">
        <f aca="false">sol_ecl!$E$24</f>
        <v>23</v>
      </c>
      <c r="F24" s="6" t="n">
        <f aca="false">calc!$AN$24</f>
        <v>302.320075491778</v>
      </c>
      <c r="G24" s="16" t="n">
        <f aca="false">sol_ecl!$H$24</f>
        <v>181.05372668993</v>
      </c>
      <c r="H24" s="6" t="n">
        <f aca="false">calc!$Z$24</f>
        <v>4.3167393892847</v>
      </c>
      <c r="I24" s="112" t="n">
        <f aca="false">10*H24</f>
        <v>43.167393892847</v>
      </c>
      <c r="J24" s="103" t="n">
        <f aca="false">ABS(ABS(F24-G24)-180)</f>
        <v>58.733651198152</v>
      </c>
      <c r="K24" s="6" t="str">
        <f aca="false">IF(ABS(J24)/11.31&lt;1,J24/11.31,"")</f>
        <v/>
      </c>
      <c r="L24" s="6" t="str">
        <f aca="false">IF(ABS(H24)/1.067&lt;1,H24,"")</f>
        <v/>
      </c>
      <c r="M24" s="107" t="str">
        <f aca="false">IF(OR(K24="",L24=""),"",ABS(K24)+ABS(L24))</f>
        <v/>
      </c>
    </row>
    <row r="25" customFormat="false" ht="17.75" hidden="false" customHeight="true" outlineLevel="0" collapsed="false">
      <c r="C25" s="2" t="n">
        <f aca="false">sol_ecl!$C$25</f>
        <v>24</v>
      </c>
      <c r="D25" s="2" t="n">
        <f aca="false">sol_ecl!$D$25</f>
        <v>1</v>
      </c>
      <c r="E25" s="102" t="n">
        <f aca="false">sol_ecl!$E$25</f>
        <v>24</v>
      </c>
      <c r="F25" s="6" t="n">
        <f aca="false">calc!$AN$25</f>
        <v>303.305722855544</v>
      </c>
      <c r="G25" s="16" t="n">
        <f aca="false">sol_ecl!$H$25</f>
        <v>194.259352137844</v>
      </c>
      <c r="H25" s="6" t="n">
        <f aca="false">calc!$Z$25</f>
        <v>3.59560176738277</v>
      </c>
      <c r="I25" s="112" t="n">
        <f aca="false">10*H25</f>
        <v>35.9560176738277</v>
      </c>
      <c r="J25" s="103" t="n">
        <f aca="false">ABS(ABS(F25-G25)-180)</f>
        <v>70.9536292823</v>
      </c>
      <c r="K25" s="6" t="str">
        <f aca="false">IF(ABS(J25)/11.31&lt;1,J25/11.31,"")</f>
        <v/>
      </c>
      <c r="L25" s="6" t="str">
        <f aca="false">IF(ABS(H25)/1.067&lt;1,H25,"")</f>
        <v/>
      </c>
      <c r="M25" s="107" t="str">
        <f aca="false">IF(OR(K25="",L25=""),"",ABS(K25)+ABS(L25))</f>
        <v/>
      </c>
    </row>
    <row r="26" customFormat="false" ht="17.75" hidden="false" customHeight="true" outlineLevel="0" collapsed="false">
      <c r="C26" s="2" t="n">
        <f aca="false">sol_ecl!$C$26</f>
        <v>25</v>
      </c>
      <c r="D26" s="2" t="n">
        <f aca="false">sol_ecl!$D$26</f>
        <v>1</v>
      </c>
      <c r="E26" s="102" t="n">
        <f aca="false">sol_ecl!$E$26</f>
        <v>25</v>
      </c>
      <c r="F26" s="6" t="n">
        <f aca="false">calc!$AN$26</f>
        <v>304.291370219311</v>
      </c>
      <c r="G26" s="16" t="n">
        <f aca="false">sol_ecl!$H$26</f>
        <v>207.712163594669</v>
      </c>
      <c r="H26" s="6" t="n">
        <f aca="false">calc!$Z$26</f>
        <v>2.66234207182277</v>
      </c>
      <c r="I26" s="112" t="n">
        <f aca="false">10*H26</f>
        <v>26.6234207182277</v>
      </c>
      <c r="J26" s="103" t="n">
        <f aca="false">ABS(ABS(F26-G26)-180)</f>
        <v>83.4207933753577</v>
      </c>
      <c r="K26" s="6" t="str">
        <f aca="false">IF(ABS(J26)/11.31&lt;1,J26/11.31,"")</f>
        <v/>
      </c>
      <c r="L26" s="6" t="str">
        <f aca="false">IF(ABS(H26)/1.067&lt;1,H26,"")</f>
        <v/>
      </c>
      <c r="M26" s="107" t="str">
        <f aca="false">IF(OR(K26="",L26=""),"",ABS(K26)+ABS(L26))</f>
        <v/>
      </c>
    </row>
    <row r="27" customFormat="false" ht="17.75" hidden="false" customHeight="true" outlineLevel="0" collapsed="false">
      <c r="C27" s="2" t="n">
        <f aca="false">sol_ecl!$C$27</f>
        <v>26</v>
      </c>
      <c r="D27" s="2" t="n">
        <f aca="false">sol_ecl!$D$27</f>
        <v>1</v>
      </c>
      <c r="E27" s="102" t="n">
        <f aca="false">sol_ecl!$E$27</f>
        <v>26</v>
      </c>
      <c r="F27" s="6" t="n">
        <f aca="false">calc!$AN$27</f>
        <v>305.277017583079</v>
      </c>
      <c r="G27" s="16" t="n">
        <f aca="false">sol_ecl!$H$27</f>
        <v>221.444109410007</v>
      </c>
      <c r="H27" s="6" t="n">
        <f aca="false">calc!$Z$27</f>
        <v>1.5564300417324</v>
      </c>
      <c r="I27" s="112" t="n">
        <f aca="false">10*H27</f>
        <v>15.564300417324</v>
      </c>
      <c r="J27" s="103" t="n">
        <f aca="false">ABS(ABS(F27-G27)-180)</f>
        <v>96.1670918269279</v>
      </c>
      <c r="K27" s="6" t="str">
        <f aca="false">IF(ABS(J27)/11.31&lt;1,J27/11.31,"")</f>
        <v/>
      </c>
      <c r="L27" s="6" t="str">
        <f aca="false">IF(ABS(H27)/1.067&lt;1,H27,"")</f>
        <v/>
      </c>
      <c r="M27" s="107" t="str">
        <f aca="false">IF(OR(K27="",L27=""),"",ABS(K27)+ABS(L27))</f>
        <v/>
      </c>
    </row>
    <row r="28" customFormat="false" ht="17.75" hidden="false" customHeight="true" outlineLevel="0" collapsed="false">
      <c r="C28" s="2" t="n">
        <f aca="false">sol_ecl!$C$28</f>
        <v>27</v>
      </c>
      <c r="D28" s="2" t="n">
        <f aca="false">sol_ecl!$D$28</f>
        <v>1</v>
      </c>
      <c r="E28" s="102" t="n">
        <f aca="false">sol_ecl!$E$28</f>
        <v>27</v>
      </c>
      <c r="F28" s="6" t="n">
        <f aca="false">calc!$AN$28</f>
        <v>306.262664946848</v>
      </c>
      <c r="G28" s="16" t="n">
        <f aca="false">sol_ecl!$H$28</f>
        <v>235.476173848099</v>
      </c>
      <c r="H28" s="6" t="n">
        <f aca="false">calc!$Z$28</f>
        <v>0.33345898129333</v>
      </c>
      <c r="I28" s="112" t="n">
        <f aca="false">10*H28</f>
        <v>3.3345898129333</v>
      </c>
      <c r="J28" s="103" t="n">
        <f aca="false">ABS(ABS(F28-G28)-180)</f>
        <v>109.213508901251</v>
      </c>
      <c r="K28" s="6" t="str">
        <f aca="false">IF(ABS(J28)/11.31&lt;1,J28/11.31,"")</f>
        <v/>
      </c>
      <c r="L28" s="6" t="n">
        <f aca="false">IF(ABS(H28)/1.067&lt;1,H28,"")</f>
        <v>0.33345898129333</v>
      </c>
      <c r="M28" s="107" t="str">
        <f aca="false">IF(OR(K28="",L28=""),"",ABS(K28)+ABS(L28))</f>
        <v/>
      </c>
    </row>
    <row r="29" customFormat="false" ht="17.75" hidden="false" customHeight="true" outlineLevel="0" collapsed="false">
      <c r="C29" s="2" t="n">
        <f aca="false">sol_ecl!$C$29</f>
        <v>28</v>
      </c>
      <c r="D29" s="2" t="n">
        <f aca="false">sol_ecl!$D$29</f>
        <v>1</v>
      </c>
      <c r="E29" s="102" t="n">
        <f aca="false">sol_ecl!$E$29</f>
        <v>28</v>
      </c>
      <c r="F29" s="6" t="n">
        <f aca="false">calc!$AN$29</f>
        <v>307.248312310616</v>
      </c>
      <c r="G29" s="16" t="n">
        <f aca="false">sol_ecl!$H$29</f>
        <v>249.80548831365</v>
      </c>
      <c r="H29" s="6" t="n">
        <f aca="false">calc!$Z$29</f>
        <v>-0.934486738205402</v>
      </c>
      <c r="I29" s="112" t="n">
        <f aca="false">10*H29</f>
        <v>-9.34486738205402</v>
      </c>
      <c r="J29" s="103" t="n">
        <f aca="false">ABS(ABS(F29-G29)-180)</f>
        <v>122.557176003034</v>
      </c>
      <c r="K29" s="6" t="str">
        <f aca="false">IF(ABS(J29)/11.31&lt;1,J29/11.31,"")</f>
        <v/>
      </c>
      <c r="L29" s="6" t="n">
        <f aca="false">IF(ABS(H29)/1.067&lt;1,H29,"")</f>
        <v>-0.934486738205402</v>
      </c>
      <c r="M29" s="107" t="str">
        <f aca="false">IF(OR(K29="",L29=""),"",ABS(K29)+ABS(L29))</f>
        <v/>
      </c>
    </row>
    <row r="30" customFormat="false" ht="17.75" hidden="false" customHeight="true" outlineLevel="0" collapsed="false">
      <c r="C30" s="2" t="n">
        <f aca="false">sol_ecl!$C$30</f>
        <v>29</v>
      </c>
      <c r="D30" s="2" t="n">
        <f aca="false">sol_ecl!$D$30</f>
        <v>1</v>
      </c>
      <c r="E30" s="102" t="n">
        <f aca="false">sol_ecl!$E$30</f>
        <v>29</v>
      </c>
      <c r="F30" s="6" t="n">
        <f aca="false">calc!$AN$30</f>
        <v>308.233959674384</v>
      </c>
      <c r="G30" s="16" t="n">
        <f aca="false">sol_ecl!$H$30</f>
        <v>264.394974340055</v>
      </c>
      <c r="H30" s="6" t="n">
        <f aca="false">calc!$Z$30</f>
        <v>-2.161761717905</v>
      </c>
      <c r="I30" s="112" t="n">
        <f aca="false">10*H30</f>
        <v>-21.61761717905</v>
      </c>
      <c r="J30" s="103" t="n">
        <f aca="false">ABS(ABS(F30-G30)-180)</f>
        <v>136.161014665671</v>
      </c>
      <c r="K30" s="6" t="str">
        <f aca="false">IF(ABS(J30)/11.31&lt;1,J30/11.31,"")</f>
        <v/>
      </c>
      <c r="L30" s="6" t="str">
        <f aca="false">IF(ABS(H30)/1.067&lt;1,H30,"")</f>
        <v/>
      </c>
      <c r="M30" s="107" t="str">
        <f aca="false">IF(OR(K30="",L30=""),"",ABS(K30)+ABS(L30))</f>
        <v/>
      </c>
    </row>
    <row r="31" customFormat="false" ht="17.75" hidden="false" customHeight="true" outlineLevel="0" collapsed="false">
      <c r="C31" s="2" t="n">
        <f aca="false">sol_ecl!$C$31</f>
        <v>30</v>
      </c>
      <c r="D31" s="2" t="n">
        <f aca="false">sol_ecl!$D$31</f>
        <v>1</v>
      </c>
      <c r="E31" s="102" t="n">
        <f aca="false">sol_ecl!$E$31</f>
        <v>30</v>
      </c>
      <c r="F31" s="6" t="n">
        <f aca="false">calc!$AN$31</f>
        <v>309.219607038156</v>
      </c>
      <c r="G31" s="16" t="n">
        <f aca="false">sol_ecl!$H$31</f>
        <v>279.16912183491</v>
      </c>
      <c r="H31" s="6" t="n">
        <f aca="false">calc!$Z$31</f>
        <v>-3.25687455614138</v>
      </c>
      <c r="I31" s="112" t="n">
        <f aca="false">10*H31</f>
        <v>-32.5687455614138</v>
      </c>
      <c r="J31" s="103" t="n">
        <f aca="false">ABS(ABS(F31-G31)-180)</f>
        <v>149.949514796754</v>
      </c>
      <c r="K31" s="6" t="str">
        <f aca="false">IF(ABS(J31)/11.31&lt;1,J31/11.31,"")</f>
        <v/>
      </c>
      <c r="L31" s="6" t="str">
        <f aca="false">IF(ABS(H31)/1.067&lt;1,H31,"")</f>
        <v/>
      </c>
      <c r="M31" s="107" t="str">
        <f aca="false">IF(OR(K31="",L31=""),"",ABS(K31)+ABS(L31))</f>
        <v/>
      </c>
    </row>
    <row r="32" customFormat="false" ht="17.75" hidden="false" customHeight="true" outlineLevel="0" collapsed="false">
      <c r="C32" s="2" t="n">
        <f aca="false">sol_ecl!$C$32</f>
        <v>31</v>
      </c>
      <c r="D32" s="2" t="n">
        <f aca="false">sol_ecl!$D$32</f>
        <v>1</v>
      </c>
      <c r="E32" s="102" t="n">
        <f aca="false">sol_ecl!$E$32</f>
        <v>31</v>
      </c>
      <c r="F32" s="6" t="n">
        <f aca="false">calc!$AN$32</f>
        <v>310.205254401926</v>
      </c>
      <c r="G32" s="16" t="n">
        <f aca="false">sol_ecl!$H$32</f>
        <v>294.018052514724</v>
      </c>
      <c r="H32" s="6" t="n">
        <f aca="false">calc!$Z$32</f>
        <v>-4.13454625863876</v>
      </c>
      <c r="I32" s="112" t="n">
        <f aca="false">10*H32</f>
        <v>-41.3454625863876</v>
      </c>
      <c r="J32" s="103" t="n">
        <f aca="false">ABS(ABS(F32-G32)-180)</f>
        <v>163.812798112798</v>
      </c>
      <c r="K32" s="6" t="str">
        <f aca="false">IF(ABS(J32)/11.31&lt;1,J32/11.31,"")</f>
        <v/>
      </c>
      <c r="L32" s="6" t="str">
        <f aca="false">IF(ABS(H32)/1.067&lt;1,H32,"")</f>
        <v/>
      </c>
      <c r="M32" s="107" t="str">
        <f aca="false">IF(OR(K32="",L32=""),"",ABS(K32)+ABS(L32))</f>
        <v/>
      </c>
    </row>
    <row r="33" customFormat="false" ht="17.75" hidden="false" customHeight="true" outlineLevel="0" collapsed="false">
      <c r="C33" s="2" t="n">
        <f aca="false">sol_ecl!$C$33</f>
        <v>1</v>
      </c>
      <c r="D33" s="2" t="n">
        <f aca="false">sol_ecl!$D$33</f>
        <v>2</v>
      </c>
      <c r="E33" s="102" t="n">
        <f aca="false">sol_ecl!$E$33</f>
        <v>32</v>
      </c>
      <c r="F33" s="6" t="n">
        <f aca="false">calc!$AN$33</f>
        <v>311.190901765694</v>
      </c>
      <c r="G33" s="16" t="n">
        <f aca="false">sol_ecl!$H$33</f>
        <v>308.809761739947</v>
      </c>
      <c r="H33" s="6" t="n">
        <f aca="false">calc!$Z$33</f>
        <v>-4.72912656041569</v>
      </c>
      <c r="I33" s="112" t="n">
        <f aca="false">10*H33</f>
        <v>-47.2912656041569</v>
      </c>
      <c r="J33" s="103" t="n">
        <f aca="false">ABS(ABS(F33-G33)-180)</f>
        <v>177.618859974253</v>
      </c>
      <c r="K33" s="6" t="str">
        <f aca="false">IF(ABS(J33)/11.31&lt;1,J33/11.31,"")</f>
        <v/>
      </c>
      <c r="L33" s="6" t="str">
        <f aca="false">IF(ABS(H33)/1.067&lt;1,H33,"")</f>
        <v/>
      </c>
      <c r="M33" s="107" t="str">
        <f aca="false">IF(OR(K33="",L33=""),"",ABS(K33)+ABS(L33))</f>
        <v/>
      </c>
    </row>
    <row r="34" customFormat="false" ht="17.75" hidden="false" customHeight="true" outlineLevel="0" collapsed="false">
      <c r="C34" s="2" t="n">
        <f aca="false">sol_ecl!$C$34</f>
        <v>2</v>
      </c>
      <c r="D34" s="2" t="n">
        <f aca="false">sol_ecl!$D$34</f>
        <v>2</v>
      </c>
      <c r="E34" s="102" t="n">
        <f aca="false">sol_ecl!$E$34</f>
        <v>33</v>
      </c>
      <c r="F34" s="6" t="n">
        <f aca="false">calc!$AN$34</f>
        <v>312.176549129466</v>
      </c>
      <c r="G34" s="16" t="n">
        <f aca="false">sol_ecl!$H$34</f>
        <v>323.408099850302</v>
      </c>
      <c r="H34" s="6" t="n">
        <f aca="false">calc!$Z$34</f>
        <v>-5.00485627785131</v>
      </c>
      <c r="I34" s="112" t="n">
        <f aca="false">10*H34</f>
        <v>-50.0485627785131</v>
      </c>
      <c r="J34" s="103" t="n">
        <f aca="false">ABS(ABS(F34-G34)-180)</f>
        <v>168.768449279165</v>
      </c>
      <c r="K34" s="6" t="str">
        <f aca="false">IF(ABS(J34)/11.31&lt;1,J34/11.31,"")</f>
        <v/>
      </c>
      <c r="L34" s="6" t="str">
        <f aca="false">IF(ABS(H34)/1.067&lt;1,H34,"")</f>
        <v/>
      </c>
      <c r="M34" s="107" t="str">
        <f aca="false">IF(OR(K34="",L34=""),"",ABS(K34)+ABS(L34))</f>
        <v/>
      </c>
    </row>
    <row r="35" customFormat="false" ht="17.75" hidden="false" customHeight="true" outlineLevel="0" collapsed="false">
      <c r="C35" s="2" t="n">
        <f aca="false">sol_ecl!$C$35</f>
        <v>3</v>
      </c>
      <c r="D35" s="2" t="n">
        <f aca="false">sol_ecl!$D$35</f>
        <v>2</v>
      </c>
      <c r="E35" s="102" t="n">
        <f aca="false">sol_ecl!$E$35</f>
        <v>34</v>
      </c>
      <c r="F35" s="6" t="n">
        <f aca="false">calc!$AN$35</f>
        <v>313.162196493237</v>
      </c>
      <c r="G35" s="16" t="n">
        <f aca="false">sol_ecl!$H$35</f>
        <v>337.692420169375</v>
      </c>
      <c r="H35" s="6" t="n">
        <f aca="false">calc!$Z$35</f>
        <v>-4.95927455359909</v>
      </c>
      <c r="I35" s="112" t="n">
        <f aca="false">10*H35</f>
        <v>-49.5927455359909</v>
      </c>
      <c r="J35" s="103" t="n">
        <f aca="false">ABS(ABS(F35-G35)-180)</f>
        <v>155.469776323862</v>
      </c>
      <c r="K35" s="6" t="str">
        <f aca="false">IF(ABS(J35)/11.31&lt;1,J35/11.31,"")</f>
        <v/>
      </c>
      <c r="L35" s="6" t="str">
        <f aca="false">IF(ABS(H35)/1.067&lt;1,H35,"")</f>
        <v/>
      </c>
      <c r="M35" s="107" t="str">
        <f aca="false">IF(OR(K35="",L35=""),"",ABS(K35)+ABS(L35))</f>
        <v/>
      </c>
    </row>
    <row r="36" customFormat="false" ht="17.75" hidden="false" customHeight="true" outlineLevel="0" collapsed="false">
      <c r="C36" s="2" t="n">
        <f aca="false">sol_ecl!$C$36</f>
        <v>4</v>
      </c>
      <c r="D36" s="2" t="n">
        <f aca="false">sol_ecl!$D$36</f>
        <v>2</v>
      </c>
      <c r="E36" s="102" t="n">
        <f aca="false">sol_ecl!$E$36</f>
        <v>35</v>
      </c>
      <c r="F36" s="6" t="n">
        <f aca="false">calc!$AN$36</f>
        <v>314.14784385701</v>
      </c>
      <c r="G36" s="16" t="n">
        <f aca="false">sol_ecl!$H$36</f>
        <v>351.574419848896</v>
      </c>
      <c r="H36" s="6" t="n">
        <f aca="false">calc!$Z$36</f>
        <v>-4.61897862891004</v>
      </c>
      <c r="I36" s="112" t="n">
        <f aca="false">10*H36</f>
        <v>-46.1897862891004</v>
      </c>
      <c r="J36" s="103" t="n">
        <f aca="false">ABS(ABS(F36-G36)-180)</f>
        <v>142.573424008114</v>
      </c>
      <c r="K36" s="6" t="str">
        <f aca="false">IF(ABS(J36)/11.31&lt;1,J36/11.31,"")</f>
        <v/>
      </c>
      <c r="L36" s="6" t="str">
        <f aca="false">IF(ABS(H36)/1.067&lt;1,H36,"")</f>
        <v/>
      </c>
      <c r="M36" s="107" t="str">
        <f aca="false">IF(OR(K36="",L36=""),"",ABS(K36)+ABS(L36))</f>
        <v/>
      </c>
    </row>
    <row r="37" customFormat="false" ht="17.75" hidden="false" customHeight="true" outlineLevel="0" collapsed="false">
      <c r="C37" s="2" t="n">
        <f aca="false">sol_ecl!$C$37</f>
        <v>5</v>
      </c>
      <c r="D37" s="2" t="n">
        <f aca="false">sol_ecl!$D$37</f>
        <v>2</v>
      </c>
      <c r="E37" s="102" t="n">
        <f aca="false">sol_ecl!$E$37</f>
        <v>36</v>
      </c>
      <c r="F37" s="6" t="n">
        <f aca="false">calc!$AN$37</f>
        <v>315.13349122078</v>
      </c>
      <c r="G37" s="16" t="n">
        <f aca="false">sol_ecl!$H$37</f>
        <v>5.00863248137547</v>
      </c>
      <c r="H37" s="6" t="n">
        <f aca="false">calc!$Z$37</f>
        <v>-4.03015705481555</v>
      </c>
      <c r="I37" s="112" t="n">
        <f aca="false">10*H37</f>
        <v>-40.3015705481555</v>
      </c>
      <c r="J37" s="103" t="n">
        <f aca="false">ABS(ABS(F37-G37)-180)</f>
        <v>130.124858739405</v>
      </c>
      <c r="K37" s="6" t="str">
        <f aca="false">IF(ABS(J37)/11.31&lt;1,J37/11.31,"")</f>
        <v/>
      </c>
      <c r="L37" s="6" t="str">
        <f aca="false">IF(ABS(H37)/1.067&lt;1,H37,"")</f>
        <v/>
      </c>
      <c r="M37" s="107" t="str">
        <f aca="false">IF(OR(K37="",L37=""),"",ABS(K37)+ABS(L37))</f>
        <v/>
      </c>
    </row>
    <row r="38" customFormat="false" ht="17.75" hidden="false" customHeight="true" outlineLevel="0" collapsed="false">
      <c r="C38" s="2" t="n">
        <f aca="false">sol_ecl!$C$38</f>
        <v>6</v>
      </c>
      <c r="D38" s="2" t="n">
        <f aca="false">sol_ecl!$D$38</f>
        <v>2</v>
      </c>
      <c r="E38" s="102" t="n">
        <f aca="false">sol_ecl!$E$38</f>
        <v>37</v>
      </c>
      <c r="F38" s="6" t="n">
        <f aca="false">calc!$AN$38</f>
        <v>316.119138584554</v>
      </c>
      <c r="G38" s="16" t="n">
        <f aca="false">sol_ecl!$H$38</f>
        <v>17.9949351008727</v>
      </c>
      <c r="H38" s="6" t="n">
        <f aca="false">calc!$Z$38</f>
        <v>-3.24791965360097</v>
      </c>
      <c r="I38" s="112" t="n">
        <f aca="false">10*H38</f>
        <v>-32.4791965360097</v>
      </c>
      <c r="J38" s="103" t="n">
        <f aca="false">ABS(ABS(F38-G38)-180)</f>
        <v>118.124203483681</v>
      </c>
      <c r="K38" s="6" t="str">
        <f aca="false">IF(ABS(J38)/11.31&lt;1,J38/11.31,"")</f>
        <v/>
      </c>
      <c r="L38" s="6" t="str">
        <f aca="false">IF(ABS(H38)/1.067&lt;1,H38,"")</f>
        <v/>
      </c>
      <c r="M38" s="107" t="str">
        <f aca="false">IF(OR(K38="",L38=""),"",ABS(K38)+ABS(L38))</f>
        <v/>
      </c>
    </row>
    <row r="39" customFormat="false" ht="17.75" hidden="false" customHeight="true" outlineLevel="0" collapsed="false">
      <c r="C39" s="2" t="n">
        <f aca="false">sol_ecl!$C$39</f>
        <v>7</v>
      </c>
      <c r="D39" s="2" t="n">
        <f aca="false">sol_ecl!$D$39</f>
        <v>2</v>
      </c>
      <c r="E39" s="102" t="n">
        <f aca="false">sol_ecl!$E$39</f>
        <v>38</v>
      </c>
      <c r="F39" s="6" t="n">
        <f aca="false">calc!$AN$39</f>
        <v>317.104785948326</v>
      </c>
      <c r="G39" s="16" t="n">
        <f aca="false">sol_ecl!$H$39</f>
        <v>30.5736262035725</v>
      </c>
      <c r="H39" s="6" t="n">
        <f aca="false">calc!$Z$39</f>
        <v>-2.32785736293207</v>
      </c>
      <c r="I39" s="112" t="n">
        <f aca="false">10*H39</f>
        <v>-23.2785736293207</v>
      </c>
      <c r="J39" s="103" t="n">
        <f aca="false">ABS(ABS(F39-G39)-180)</f>
        <v>106.531159744754</v>
      </c>
      <c r="K39" s="6" t="str">
        <f aca="false">IF(ABS(J39)/11.31&lt;1,J39/11.31,"")</f>
        <v/>
      </c>
      <c r="L39" s="6" t="str">
        <f aca="false">IF(ABS(H39)/1.067&lt;1,H39,"")</f>
        <v/>
      </c>
      <c r="M39" s="107" t="str">
        <f aca="false">IF(OR(K39="",L39=""),"",ABS(K39)+ABS(L39))</f>
        <v/>
      </c>
    </row>
    <row r="40" customFormat="false" ht="17.75" hidden="false" customHeight="true" outlineLevel="0" collapsed="false">
      <c r="C40" s="2" t="n">
        <f aca="false">sol_ecl!$C$40</f>
        <v>8</v>
      </c>
      <c r="D40" s="2" t="n">
        <f aca="false">sol_ecl!$D$40</f>
        <v>2</v>
      </c>
      <c r="E40" s="102" t="n">
        <f aca="false">sol_ecl!$E$40</f>
        <v>39</v>
      </c>
      <c r="F40" s="6" t="n">
        <f aca="false">calc!$AN$40</f>
        <v>318.0904333121</v>
      </c>
      <c r="G40" s="16" t="n">
        <f aca="false">sol_ecl!$H$40</f>
        <v>42.8153794595465</v>
      </c>
      <c r="H40" s="6" t="n">
        <f aca="false">calc!$Z$40</f>
        <v>-1.32136714111679</v>
      </c>
      <c r="I40" s="112" t="n">
        <f aca="false">10*H40</f>
        <v>-13.2136714111679</v>
      </c>
      <c r="J40" s="103" t="n">
        <f aca="false">ABS(ABS(F40-G40)-180)</f>
        <v>95.2750538525532</v>
      </c>
      <c r="K40" s="6" t="str">
        <f aca="false">IF(ABS(J40)/11.31&lt;1,J40/11.31,"")</f>
        <v/>
      </c>
      <c r="L40" s="6" t="str">
        <f aca="false">IF(ABS(H40)/1.067&lt;1,H40,"")</f>
        <v/>
      </c>
      <c r="M40" s="107" t="str">
        <f aca="false">IF(OR(K40="",L40=""),"",ABS(K40)+ABS(L40))</f>
        <v/>
      </c>
    </row>
    <row r="41" customFormat="false" ht="17.75" hidden="false" customHeight="true" outlineLevel="0" collapsed="false">
      <c r="C41" s="2" t="n">
        <f aca="false">sol_ecl!$C$41</f>
        <v>9</v>
      </c>
      <c r="D41" s="2" t="n">
        <f aca="false">sol_ecl!$D$41</f>
        <v>2</v>
      </c>
      <c r="E41" s="102" t="n">
        <f aca="false">sol_ecl!$E$41</f>
        <v>40</v>
      </c>
      <c r="F41" s="6" t="n">
        <f aca="false">calc!$AN$41</f>
        <v>319.076080675874</v>
      </c>
      <c r="G41" s="16" t="n">
        <f aca="false">sol_ecl!$H$41</f>
        <v>54.8091617412626</v>
      </c>
      <c r="H41" s="6" t="n">
        <f aca="false">calc!$Z$41</f>
        <v>-0.274418649905076</v>
      </c>
      <c r="I41" s="112" t="n">
        <f aca="false">10*H41</f>
        <v>-2.74418649905076</v>
      </c>
      <c r="J41" s="103" t="n">
        <f aca="false">ABS(ABS(F41-G41)-180)</f>
        <v>84.2669189346109</v>
      </c>
      <c r="K41" s="6" t="str">
        <f aca="false">IF(ABS(J41)/11.31&lt;1,J41/11.31,"")</f>
        <v/>
      </c>
      <c r="L41" s="6" t="n">
        <f aca="false">IF(ABS(H41)/1.067&lt;1,H41,"")</f>
        <v>-0.274418649905076</v>
      </c>
      <c r="M41" s="107" t="str">
        <f aca="false">IF(OR(K41="",L41=""),"",ABS(K41)+ABS(L41))</f>
        <v/>
      </c>
    </row>
    <row r="42" customFormat="false" ht="17.75" hidden="false" customHeight="true" outlineLevel="0" collapsed="false">
      <c r="C42" s="2" t="n">
        <f aca="false">sol_ecl!$C$42</f>
        <v>10</v>
      </c>
      <c r="D42" s="2" t="n">
        <f aca="false">sol_ecl!$D$42</f>
        <v>2</v>
      </c>
      <c r="E42" s="102" t="n">
        <f aca="false">sol_ecl!$E$42</f>
        <v>41</v>
      </c>
      <c r="F42" s="6" t="n">
        <f aca="false">calc!$AN$42</f>
        <v>320.061728039647</v>
      </c>
      <c r="G42" s="16" t="n">
        <f aca="false">sol_ecl!$H$42</f>
        <v>66.6509022176712</v>
      </c>
      <c r="H42" s="6" t="n">
        <f aca="false">calc!$Z$42</f>
        <v>0.771551437736062</v>
      </c>
      <c r="I42" s="112" t="n">
        <f aca="false">10*H42</f>
        <v>7.71551437736062</v>
      </c>
      <c r="J42" s="103" t="n">
        <f aca="false">ABS(ABS(F42-G42)-180)</f>
        <v>73.4108258219761</v>
      </c>
      <c r="K42" s="6" t="str">
        <f aca="false">IF(ABS(J42)/11.31&lt;1,J42/11.31,"")</f>
        <v/>
      </c>
      <c r="L42" s="6" t="n">
        <f aca="false">IF(ABS(H42)/1.067&lt;1,H42,"")</f>
        <v>0.771551437736062</v>
      </c>
      <c r="M42" s="107" t="str">
        <f aca="false">IF(OR(K42="",L42=""),"",ABS(K42)+ABS(L42))</f>
        <v/>
      </c>
    </row>
    <row r="43" customFormat="false" ht="17.75" hidden="false" customHeight="true" outlineLevel="0" collapsed="false">
      <c r="C43" s="2" t="n">
        <f aca="false">sol_ecl!$C$43</f>
        <v>11</v>
      </c>
      <c r="D43" s="2" t="n">
        <f aca="false">sol_ecl!$D$43</f>
        <v>2</v>
      </c>
      <c r="E43" s="102" t="n">
        <f aca="false">sol_ecl!$E$43</f>
        <v>42</v>
      </c>
      <c r="F43" s="6" t="n">
        <f aca="false">calc!$AN$43</f>
        <v>321.047375403421</v>
      </c>
      <c r="G43" s="16" t="n">
        <f aca="false">sol_ecl!$H$43</f>
        <v>78.434601745859</v>
      </c>
      <c r="H43" s="6" t="n">
        <f aca="false">calc!$Z$43</f>
        <v>1.77799924483774</v>
      </c>
      <c r="I43" s="112" t="n">
        <f aca="false">10*H43</f>
        <v>17.7799924483774</v>
      </c>
      <c r="J43" s="103" t="n">
        <f aca="false">ABS(ABS(F43-G43)-180)</f>
        <v>62.6127736575621</v>
      </c>
      <c r="K43" s="6" t="str">
        <f aca="false">IF(ABS(J43)/11.31&lt;1,J43/11.31,"")</f>
        <v/>
      </c>
      <c r="L43" s="6" t="str">
        <f aca="false">IF(ABS(H43)/1.067&lt;1,H43,"")</f>
        <v/>
      </c>
      <c r="M43" s="107" t="str">
        <f aca="false">IF(OR(K43="",L43=""),"",ABS(K43)+ABS(L43))</f>
        <v/>
      </c>
    </row>
    <row r="44" customFormat="false" ht="17.75" hidden="false" customHeight="true" outlineLevel="0" collapsed="false">
      <c r="C44" s="2" t="n">
        <f aca="false">sol_ecl!$C$44</f>
        <v>12</v>
      </c>
      <c r="D44" s="2" t="n">
        <f aca="false">sol_ecl!$D$44</f>
        <v>2</v>
      </c>
      <c r="E44" s="102" t="n">
        <f aca="false">sol_ecl!$E$44</f>
        <v>43</v>
      </c>
      <c r="F44" s="6" t="n">
        <f aca="false">calc!$AN$44</f>
        <v>322.033022767197</v>
      </c>
      <c r="G44" s="16" t="n">
        <f aca="false">sol_ecl!$H$44</f>
        <v>90.2462335014366</v>
      </c>
      <c r="H44" s="6" t="n">
        <f aca="false">calc!$Z$44</f>
        <v>2.70782214166723</v>
      </c>
      <c r="I44" s="112" t="n">
        <f aca="false">10*H44</f>
        <v>27.0782214166723</v>
      </c>
      <c r="J44" s="103" t="n">
        <f aca="false">ABS(ABS(F44-G44)-180)</f>
        <v>51.78678926576</v>
      </c>
      <c r="K44" s="6" t="str">
        <f aca="false">IF(ABS(J44)/11.31&lt;1,J44/11.31,"")</f>
        <v/>
      </c>
      <c r="L44" s="6" t="str">
        <f aca="false">IF(ABS(H44)/1.067&lt;1,H44,"")</f>
        <v/>
      </c>
      <c r="M44" s="107" t="str">
        <f aca="false">IF(OR(K44="",L44=""),"",ABS(K44)+ABS(L44))</f>
        <v/>
      </c>
    </row>
    <row r="45" customFormat="false" ht="17.75" hidden="false" customHeight="true" outlineLevel="0" collapsed="false">
      <c r="C45" s="2" t="n">
        <f aca="false">sol_ecl!$C$45</f>
        <v>13</v>
      </c>
      <c r="D45" s="2" t="n">
        <f aca="false">sol_ecl!$D$45</f>
        <v>2</v>
      </c>
      <c r="E45" s="102" t="n">
        <f aca="false">sol_ecl!$E$45</f>
        <v>44</v>
      </c>
      <c r="F45" s="6" t="n">
        <f aca="false">calc!$AN$45</f>
        <v>323.018670130972</v>
      </c>
      <c r="G45" s="16" t="n">
        <f aca="false">sol_ecl!$H$45</f>
        <v>102.15978172886</v>
      </c>
      <c r="H45" s="6" t="n">
        <f aca="false">calc!$Z$45</f>
        <v>3.52453427934085</v>
      </c>
      <c r="I45" s="112" t="n">
        <f aca="false">10*H45</f>
        <v>35.2453427934085</v>
      </c>
      <c r="J45" s="103" t="n">
        <f aca="false">ABS(ABS(F45-G45)-180)</f>
        <v>40.8588884021123</v>
      </c>
      <c r="K45" s="6" t="str">
        <f aca="false">IF(ABS(J45)/11.31&lt;1,J45/11.31,"")</f>
        <v/>
      </c>
      <c r="L45" s="6" t="str">
        <f aca="false">IF(ABS(H45)/1.067&lt;1,H45,"")</f>
        <v/>
      </c>
      <c r="M45" s="107" t="str">
        <f aca="false">IF(OR(K45="",L45=""),"",ABS(K45)+ABS(L45))</f>
        <v/>
      </c>
    </row>
    <row r="46" customFormat="false" ht="17.75" hidden="false" customHeight="true" outlineLevel="0" collapsed="false">
      <c r="C46" s="2" t="n">
        <f aca="false">sol_ecl!$C$46</f>
        <v>14</v>
      </c>
      <c r="D46" s="2" t="n">
        <f aca="false">sol_ecl!$D$46</f>
        <v>2</v>
      </c>
      <c r="E46" s="102" t="n">
        <f aca="false">sol_ecl!$E$46</f>
        <v>45</v>
      </c>
      <c r="F46" s="6" t="n">
        <f aca="false">calc!$AN$46</f>
        <v>324.00431749475</v>
      </c>
      <c r="G46" s="16" t="n">
        <f aca="false">sol_ecl!$H$46</f>
        <v>114.234452377191</v>
      </c>
      <c r="H46" s="6" t="n">
        <f aca="false">calc!$Z$46</f>
        <v>4.192234981245</v>
      </c>
      <c r="I46" s="112" t="n">
        <f aca="false">10*H46</f>
        <v>41.92234981245</v>
      </c>
      <c r="J46" s="103" t="n">
        <f aca="false">ABS(ABS(F46-G46)-180)</f>
        <v>29.7698651175581</v>
      </c>
      <c r="K46" s="6" t="str">
        <f aca="false">IF(ABS(J46)/11.31&lt;1,J46/11.31,"")</f>
        <v/>
      </c>
      <c r="L46" s="6" t="str">
        <f aca="false">IF(ABS(H46)/1.067&lt;1,H46,"")</f>
        <v/>
      </c>
      <c r="M46" s="107" t="str">
        <f aca="false">IF(OR(K46="",L46=""),"",ABS(K46)+ABS(L46))</f>
        <v/>
      </c>
    </row>
    <row r="47" customFormat="false" ht="17.75" hidden="false" customHeight="true" outlineLevel="0" collapsed="false">
      <c r="C47" s="2" t="n">
        <f aca="false">sol_ecl!$C$47</f>
        <v>15</v>
      </c>
      <c r="D47" s="2" t="n">
        <f aca="false">sol_ecl!$D$47</f>
        <v>2</v>
      </c>
      <c r="E47" s="102" t="n">
        <f aca="false">sol_ecl!$E$47</f>
        <v>46</v>
      </c>
      <c r="F47" s="6" t="n">
        <f aca="false">calc!$AN$47</f>
        <v>324.989964858525</v>
      </c>
      <c r="G47" s="16" t="n">
        <f aca="false">sol_ecl!$H$47</f>
        <v>126.512471552213</v>
      </c>
      <c r="H47" s="6" t="n">
        <f aca="false">calc!$Z$47</f>
        <v>4.6764961342727</v>
      </c>
      <c r="I47" s="112" t="n">
        <f aca="false">10*H47</f>
        <v>46.764961342727</v>
      </c>
      <c r="J47" s="103" t="n">
        <f aca="false">ABS(ABS(F47-G47)-180)</f>
        <v>18.477493306312</v>
      </c>
      <c r="K47" s="6" t="str">
        <f aca="false">IF(ABS(J47)/11.31&lt;1,J47/11.31,"")</f>
        <v/>
      </c>
      <c r="L47" s="6" t="str">
        <f aca="false">IF(ABS(H47)/1.067&lt;1,H47,"")</f>
        <v/>
      </c>
      <c r="M47" s="107" t="str">
        <f aca="false">IF(OR(K47="",L47=""),"",ABS(K47)+ABS(L47))</f>
        <v/>
      </c>
    </row>
    <row r="48" customFormat="false" ht="17.75" hidden="false" customHeight="true" outlineLevel="0" collapsed="false">
      <c r="C48" s="2" t="n">
        <f aca="false">sol_ecl!$C$48</f>
        <v>16</v>
      </c>
      <c r="D48" s="2" t="n">
        <f aca="false">sol_ecl!$D$48</f>
        <v>2</v>
      </c>
      <c r="E48" s="102" t="n">
        <f aca="false">sol_ecl!$E$48</f>
        <v>47</v>
      </c>
      <c r="F48" s="6" t="n">
        <f aca="false">calc!$AN$48</f>
        <v>325.975612222304</v>
      </c>
      <c r="G48" s="16" t="n">
        <f aca="false">sol_ecl!$H$48</f>
        <v>139.017639913669</v>
      </c>
      <c r="H48" s="6" t="n">
        <f aca="false">calc!$Z$48</f>
        <v>4.94630578221456</v>
      </c>
      <c r="I48" s="112" t="n">
        <f aca="false">10*H48</f>
        <v>49.4630578221456</v>
      </c>
      <c r="J48" s="103" t="n">
        <f aca="false">ABS(ABS(F48-G48)-180)</f>
        <v>6.95797230863522</v>
      </c>
      <c r="K48" s="6" t="n">
        <f aca="false">IF(ABS(J48)/11.31&lt;1,J48/11.31,"")</f>
        <v>0.61520533232849</v>
      </c>
      <c r="L48" s="6" t="str">
        <f aca="false">IF(ABS(H48)/1.067&lt;1,H48,"")</f>
        <v/>
      </c>
      <c r="M48" s="107" t="str">
        <f aca="false">IF(OR(K48="",L48=""),"",ABS(K48)+ABS(L48))</f>
        <v/>
      </c>
    </row>
    <row r="49" customFormat="false" ht="17.75" hidden="false" customHeight="true" outlineLevel="0" collapsed="false">
      <c r="C49" s="2" t="n">
        <f aca="false">sol_ecl!$C$49</f>
        <v>17</v>
      </c>
      <c r="D49" s="2" t="n">
        <f aca="false">sol_ecl!$D$49</f>
        <v>2</v>
      </c>
      <c r="E49" s="102" t="n">
        <f aca="false">sol_ecl!$E$49</f>
        <v>48</v>
      </c>
      <c r="F49" s="6" t="n">
        <f aca="false">calc!$AN$49</f>
        <v>326.96125958608</v>
      </c>
      <c r="G49" s="16" t="n">
        <f aca="false">sol_ecl!$H$49</f>
        <v>151.755444130063</v>
      </c>
      <c r="H49" s="6" t="n">
        <f aca="false">calc!$Z$49</f>
        <v>4.97705482402466</v>
      </c>
      <c r="I49" s="112" t="n">
        <f aca="false">10*H49</f>
        <v>49.7705482402466</v>
      </c>
      <c r="J49" s="103" t="n">
        <f aca="false">ABS(ABS(F49-G49)-180)</f>
        <v>4.79418454398333</v>
      </c>
      <c r="K49" s="6" t="n">
        <f aca="false">IF(ABS(J49)/11.31&lt;1,J49/11.31,"")</f>
        <v>0.423888995931329</v>
      </c>
      <c r="L49" s="6" t="str">
        <f aca="false">IF(ABS(H49)/1.067&lt;1,H49,"")</f>
        <v/>
      </c>
      <c r="M49" s="107" t="str">
        <f aca="false">IF(OR(K49="",L49=""),"",ABS(K49)+ABS(L49))</f>
        <v/>
      </c>
    </row>
    <row r="50" customFormat="false" ht="17.75" hidden="false" customHeight="true" outlineLevel="0" collapsed="false">
      <c r="C50" s="2" t="n">
        <f aca="false">sol_ecl!$C$50</f>
        <v>18</v>
      </c>
      <c r="D50" s="2" t="n">
        <f aca="false">sol_ecl!$D$50</f>
        <v>2</v>
      </c>
      <c r="E50" s="102" t="n">
        <f aca="false">sol_ecl!$E$50</f>
        <v>49</v>
      </c>
      <c r="F50" s="6" t="n">
        <f aca="false">calc!$AN$50</f>
        <v>327.946906949859</v>
      </c>
      <c r="G50" s="16" t="n">
        <f aca="false">sol_ecl!$H$50</f>
        <v>164.715621206931</v>
      </c>
      <c r="H50" s="6" t="n">
        <f aca="false">calc!$Z$50</f>
        <v>4.75417828442065</v>
      </c>
      <c r="I50" s="112" t="n">
        <f aca="false">10*H50</f>
        <v>47.5417828442065</v>
      </c>
      <c r="J50" s="103" t="n">
        <f aca="false">ABS(ABS(F50-G50)-180)</f>
        <v>16.7687142570714</v>
      </c>
      <c r="K50" s="6" t="str">
        <f aca="false">IF(ABS(J50)/11.31&lt;1,J50/11.31,"")</f>
        <v/>
      </c>
      <c r="L50" s="6" t="str">
        <f aca="false">IF(ABS(H50)/1.067&lt;1,H50,"")</f>
        <v/>
      </c>
      <c r="M50" s="107" t="str">
        <f aca="false">IF(OR(K50="",L50=""),"",ABS(K50)+ABS(L50))</f>
        <v/>
      </c>
    </row>
    <row r="51" customFormat="false" ht="17.75" hidden="false" customHeight="true" outlineLevel="0" collapsed="false">
      <c r="C51" s="2" t="n">
        <f aca="false">sol_ecl!$C$51</f>
        <v>19</v>
      </c>
      <c r="D51" s="2" t="n">
        <f aca="false">sol_ecl!$D$51</f>
        <v>2</v>
      </c>
      <c r="E51" s="102" t="n">
        <f aca="false">sol_ecl!$E$51</f>
        <v>50</v>
      </c>
      <c r="F51" s="6" t="n">
        <f aca="false">calc!$AN$51</f>
        <v>328.932554313638</v>
      </c>
      <c r="G51" s="16" t="n">
        <f aca="false">sol_ecl!$H$51</f>
        <v>177.877479382487</v>
      </c>
      <c r="H51" s="6" t="n">
        <f aca="false">calc!$Z$51</f>
        <v>4.27663392658032</v>
      </c>
      <c r="I51" s="112" t="n">
        <f aca="false">10*H51</f>
        <v>42.7663392658032</v>
      </c>
      <c r="J51" s="103" t="n">
        <f aca="false">ABS(ABS(F51-G51)-180)</f>
        <v>28.9449250688484</v>
      </c>
      <c r="K51" s="6" t="str">
        <f aca="false">IF(ABS(J51)/11.31&lt;1,J51/11.31,"")</f>
        <v/>
      </c>
      <c r="L51" s="6" t="str">
        <f aca="false">IF(ABS(H51)/1.067&lt;1,H51,"")</f>
        <v/>
      </c>
      <c r="M51" s="107" t="str">
        <f aca="false">IF(OR(K51="",L51=""),"",ABS(K51)+ABS(L51))</f>
        <v/>
      </c>
    </row>
    <row r="52" customFormat="false" ht="17.75" hidden="false" customHeight="true" outlineLevel="0" collapsed="false">
      <c r="C52" s="2" t="n">
        <f aca="false">sol_ecl!$C$52</f>
        <v>20</v>
      </c>
      <c r="D52" s="2" t="n">
        <f aca="false">sol_ecl!$D$52</f>
        <v>2</v>
      </c>
      <c r="E52" s="102" t="n">
        <f aca="false">sol_ecl!$E$52</f>
        <v>51</v>
      </c>
      <c r="F52" s="6" t="n">
        <f aca="false">calc!$AN$52</f>
        <v>329.918201677416</v>
      </c>
      <c r="G52" s="16" t="n">
        <f aca="false">sol_ecl!$H$52</f>
        <v>191.217201339017</v>
      </c>
      <c r="H52" s="6" t="n">
        <f aca="false">calc!$Z$52</f>
        <v>3.55923650513807</v>
      </c>
      <c r="I52" s="112" t="n">
        <f aca="false">10*H52</f>
        <v>35.5923650513807</v>
      </c>
      <c r="J52" s="103" t="n">
        <f aca="false">ABS(ABS(F52-G52)-180)</f>
        <v>41.2989996616016</v>
      </c>
      <c r="K52" s="6" t="str">
        <f aca="false">IF(ABS(J52)/11.31&lt;1,J52/11.31,"")</f>
        <v/>
      </c>
      <c r="L52" s="6" t="str">
        <f aca="false">IF(ABS(H52)/1.067&lt;1,H52,"")</f>
        <v/>
      </c>
      <c r="M52" s="107" t="str">
        <f aca="false">IF(OR(K52="",L52=""),"",ABS(K52)+ABS(L52))</f>
        <v/>
      </c>
    </row>
    <row r="53" customFormat="false" ht="17.75" hidden="false" customHeight="true" outlineLevel="0" collapsed="false">
      <c r="C53" s="2" t="n">
        <f aca="false">sol_ecl!$C$53</f>
        <v>21</v>
      </c>
      <c r="D53" s="2" t="n">
        <f aca="false">sol_ecl!$D$53</f>
        <v>2</v>
      </c>
      <c r="E53" s="102" t="n">
        <f aca="false">sol_ecl!$E$53</f>
        <v>52</v>
      </c>
      <c r="F53" s="6" t="n">
        <f aca="false">calc!$AN$53</f>
        <v>330.903849041195</v>
      </c>
      <c r="G53" s="16" t="n">
        <f aca="false">sol_ecl!$H$53</f>
        <v>204.715264398025</v>
      </c>
      <c r="H53" s="6" t="n">
        <f aca="false">calc!$Z$53</f>
        <v>2.6331808837861</v>
      </c>
      <c r="I53" s="112" t="n">
        <f aca="false">10*H53</f>
        <v>26.331808837861</v>
      </c>
      <c r="J53" s="103" t="n">
        <f aca="false">ABS(ABS(F53-G53)-180)</f>
        <v>53.81141535683</v>
      </c>
      <c r="K53" s="6" t="str">
        <f aca="false">IF(ABS(J53)/11.31&lt;1,J53/11.31,"")</f>
        <v/>
      </c>
      <c r="L53" s="6" t="str">
        <f aca="false">IF(ABS(H53)/1.067&lt;1,H53,"")</f>
        <v/>
      </c>
      <c r="M53" s="107" t="str">
        <f aca="false">IF(OR(K53="",L53=""),"",ABS(K53)+ABS(L53))</f>
        <v/>
      </c>
    </row>
    <row r="54" customFormat="false" ht="17.75" hidden="false" customHeight="true" outlineLevel="0" collapsed="false">
      <c r="C54" s="2" t="n">
        <f aca="false">sol_ecl!$C$54</f>
        <v>22</v>
      </c>
      <c r="D54" s="2" t="n">
        <f aca="false">sol_ecl!$D$54</f>
        <v>2</v>
      </c>
      <c r="E54" s="102" t="n">
        <f aca="false">sol_ecl!$E$54</f>
        <v>53</v>
      </c>
      <c r="F54" s="6" t="n">
        <f aca="false">calc!$AN$54</f>
        <v>331.889496404974</v>
      </c>
      <c r="G54" s="16" t="n">
        <f aca="false">sol_ecl!$H$54</f>
        <v>218.361549363475</v>
      </c>
      <c r="H54" s="6" t="n">
        <f aca="false">calc!$Z$54</f>
        <v>1.54476320997531</v>
      </c>
      <c r="I54" s="112" t="n">
        <f aca="false">10*H54</f>
        <v>15.4476320997531</v>
      </c>
      <c r="J54" s="103" t="n">
        <f aca="false">ABS(ABS(F54-G54)-180)</f>
        <v>66.4720529585005</v>
      </c>
      <c r="K54" s="6" t="str">
        <f aca="false">IF(ABS(J54)/11.31&lt;1,J54/11.31,"")</f>
        <v/>
      </c>
      <c r="L54" s="6" t="str">
        <f aca="false">IF(ABS(H54)/1.067&lt;1,H54,"")</f>
        <v/>
      </c>
      <c r="M54" s="107" t="str">
        <f aca="false">IF(OR(K54="",L54=""),"",ABS(K54)+ABS(L54))</f>
        <v/>
      </c>
    </row>
    <row r="55" customFormat="false" ht="17.75" hidden="false" customHeight="true" outlineLevel="0" collapsed="false">
      <c r="C55" s="2" t="n">
        <f aca="false">sol_ecl!$C$55</f>
        <v>23</v>
      </c>
      <c r="D55" s="2" t="n">
        <f aca="false">sol_ecl!$D$55</f>
        <v>2</v>
      </c>
      <c r="E55" s="102" t="n">
        <f aca="false">sol_ecl!$E$55</f>
        <v>54</v>
      </c>
      <c r="F55" s="6" t="n">
        <f aca="false">calc!$AN$55</f>
        <v>332.875143768757</v>
      </c>
      <c r="G55" s="16" t="n">
        <f aca="false">sol_ecl!$H$55</f>
        <v>232.156041615356</v>
      </c>
      <c r="H55" s="6" t="n">
        <f aca="false">calc!$Z$55</f>
        <v>0.352908355151548</v>
      </c>
      <c r="I55" s="112" t="n">
        <f aca="false">10*H55</f>
        <v>3.52908355151548</v>
      </c>
      <c r="J55" s="103" t="n">
        <f aca="false">ABS(ABS(F55-G55)-180)</f>
        <v>79.2808978465987</v>
      </c>
      <c r="K55" s="6" t="str">
        <f aca="false">IF(ABS(J55)/11.31&lt;1,J55/11.31,"")</f>
        <v/>
      </c>
      <c r="L55" s="6" t="n">
        <f aca="false">IF(ABS(H55)/1.067&lt;1,H55,"")</f>
        <v>0.352908355151548</v>
      </c>
      <c r="M55" s="107" t="str">
        <f aca="false">IF(OR(K55="",L55=""),"",ABS(K55)+ABS(L55))</f>
        <v/>
      </c>
    </row>
    <row r="56" customFormat="false" ht="17.75" hidden="false" customHeight="true" outlineLevel="0" collapsed="false">
      <c r="C56" s="2" t="n">
        <f aca="false">sol_ecl!$C$56</f>
        <v>24</v>
      </c>
      <c r="D56" s="2" t="n">
        <f aca="false">sol_ecl!$D$56</f>
        <v>2</v>
      </c>
      <c r="E56" s="102" t="n">
        <f aca="false">sol_ecl!$E$56</f>
        <v>55</v>
      </c>
      <c r="F56" s="6" t="n">
        <f aca="false">calc!$AN$56</f>
        <v>333.860791132536</v>
      </c>
      <c r="G56" s="16" t="n">
        <f aca="false">sol_ecl!$H$56</f>
        <v>246.104268979316</v>
      </c>
      <c r="H56" s="6" t="n">
        <f aca="false">calc!$Z$56</f>
        <v>-0.873811967910827</v>
      </c>
      <c r="I56" s="112" t="n">
        <f aca="false">10*H56</f>
        <v>-8.73811967910827</v>
      </c>
      <c r="J56" s="103" t="n">
        <f aca="false">ABS(ABS(F56-G56)-180)</f>
        <v>92.2434778467798</v>
      </c>
      <c r="K56" s="6" t="str">
        <f aca="false">IF(ABS(J56)/11.31&lt;1,J56/11.31,"")</f>
        <v/>
      </c>
      <c r="L56" s="6" t="n">
        <f aca="false">IF(ABS(H56)/1.067&lt;1,H56,"")</f>
        <v>-0.873811967910827</v>
      </c>
      <c r="M56" s="107" t="str">
        <f aca="false">IF(OR(K56="",L56=""),"",ABS(K56)+ABS(L56))</f>
        <v/>
      </c>
    </row>
    <row r="57" customFormat="false" ht="17.75" hidden="false" customHeight="true" outlineLevel="0" collapsed="false">
      <c r="C57" s="2" t="n">
        <f aca="false">sol_ecl!$C$57</f>
        <v>25</v>
      </c>
      <c r="D57" s="2" t="n">
        <f aca="false">sol_ecl!$D$57</f>
        <v>2</v>
      </c>
      <c r="E57" s="102" t="n">
        <f aca="false">sol_ecl!$E$57</f>
        <v>56</v>
      </c>
      <c r="F57" s="6" t="n">
        <f aca="false">calc!$AN$57</f>
        <v>334.846438496319</v>
      </c>
      <c r="G57" s="16" t="n">
        <f aca="false">sol_ecl!$H$57</f>
        <v>260.20839672392</v>
      </c>
      <c r="H57" s="6" t="n">
        <f aca="false">calc!$Z$57</f>
        <v>-2.06050754971766</v>
      </c>
      <c r="I57" s="112" t="n">
        <f aca="false">10*H57</f>
        <v>-20.6050754971766</v>
      </c>
      <c r="J57" s="103" t="n">
        <f aca="false">ABS(ABS(F57-G57)-180)</f>
        <v>105.361958227601</v>
      </c>
      <c r="K57" s="6" t="str">
        <f aca="false">IF(ABS(J57)/11.31&lt;1,J57/11.31,"")</f>
        <v/>
      </c>
      <c r="L57" s="6" t="str">
        <f aca="false">IF(ABS(H57)/1.067&lt;1,H57,"")</f>
        <v/>
      </c>
      <c r="M57" s="107" t="str">
        <f aca="false">IF(OR(K57="",L57=""),"",ABS(K57)+ABS(L57))</f>
        <v/>
      </c>
    </row>
    <row r="58" customFormat="false" ht="17.75" hidden="false" customHeight="true" outlineLevel="0" collapsed="false">
      <c r="C58" s="2" t="n">
        <f aca="false">sol_ecl!$C$58</f>
        <v>26</v>
      </c>
      <c r="D58" s="2" t="n">
        <f aca="false">sol_ecl!$D$58</f>
        <v>2</v>
      </c>
      <c r="E58" s="102" t="n">
        <f aca="false">sol_ecl!$E$58</f>
        <v>57</v>
      </c>
      <c r="F58" s="6" t="n">
        <f aca="false">calc!$AN$58</f>
        <v>335.832085860098</v>
      </c>
      <c r="G58" s="16" t="n">
        <f aca="false">sol_ecl!$H$58</f>
        <v>274.456576490507</v>
      </c>
      <c r="H58" s="6" t="n">
        <f aca="false">calc!$Z$58</f>
        <v>-3.13018179338209</v>
      </c>
      <c r="I58" s="112" t="n">
        <f aca="false">10*H58</f>
        <v>-31.3018179338209</v>
      </c>
      <c r="J58" s="103" t="n">
        <f aca="false">ABS(ABS(F58-G58)-180)</f>
        <v>118.624490630409</v>
      </c>
      <c r="K58" s="6" t="str">
        <f aca="false">IF(ABS(J58)/11.31&lt;1,J58/11.31,"")</f>
        <v/>
      </c>
      <c r="L58" s="6" t="str">
        <f aca="false">IF(ABS(H58)/1.067&lt;1,H58,"")</f>
        <v/>
      </c>
      <c r="M58" s="107" t="str">
        <f aca="false">IF(OR(K58="",L58=""),"",ABS(K58)+ABS(L58))</f>
        <v/>
      </c>
    </row>
    <row r="59" customFormat="false" ht="17.75" hidden="false" customHeight="true" outlineLevel="0" collapsed="false">
      <c r="C59" s="2" t="n">
        <f aca="false">sol_ecl!$C$59</f>
        <v>27</v>
      </c>
      <c r="D59" s="2" t="n">
        <f aca="false">sol_ecl!$D$59</f>
        <v>2</v>
      </c>
      <c r="E59" s="102" t="n">
        <f aca="false">sol_ecl!$E$59</f>
        <v>58</v>
      </c>
      <c r="F59" s="6" t="n">
        <f aca="false">calc!$AN$59</f>
        <v>336.817733223883</v>
      </c>
      <c r="G59" s="16" t="n">
        <f aca="false">sol_ecl!$H$59</f>
        <v>288.814071771756</v>
      </c>
      <c r="H59" s="6" t="n">
        <f aca="false">calc!$Z$59</f>
        <v>-4.00958584144821</v>
      </c>
      <c r="I59" s="112" t="n">
        <f aca="false">10*H59</f>
        <v>-40.0958584144821</v>
      </c>
      <c r="J59" s="103" t="n">
        <f aca="false">ABS(ABS(F59-G59)-180)</f>
        <v>131.996338547873</v>
      </c>
      <c r="K59" s="6" t="str">
        <f aca="false">IF(ABS(J59)/11.31&lt;1,J59/11.31,"")</f>
        <v/>
      </c>
      <c r="L59" s="6" t="str">
        <f aca="false">IF(ABS(H59)/1.067&lt;1,H59,"")</f>
        <v/>
      </c>
      <c r="M59" s="107" t="str">
        <f aca="false">IF(OR(K59="",L59=""),"",ABS(K59)+ABS(L59))</f>
        <v/>
      </c>
    </row>
    <row r="60" customFormat="false" ht="17.75" hidden="false" customHeight="true" outlineLevel="0" collapsed="false">
      <c r="C60" s="2" t="n">
        <f aca="false">sol_ecl!$C$60</f>
        <v>28</v>
      </c>
      <c r="D60" s="2" t="n">
        <f aca="false">sol_ecl!$D$60</f>
        <v>2</v>
      </c>
      <c r="E60" s="102" t="n">
        <f aca="false">sol_ecl!$E$60</f>
        <v>59</v>
      </c>
      <c r="F60" s="6" t="n">
        <f aca="false">calc!$AN$60</f>
        <v>337.803380587666</v>
      </c>
      <c r="G60" s="16" t="n">
        <f aca="false">sol_ecl!$H$60</f>
        <v>303.21945088535</v>
      </c>
      <c r="H60" s="6" t="n">
        <f aca="false">calc!$Z$60</f>
        <v>-4.6367989689086</v>
      </c>
      <c r="I60" s="112" t="n">
        <f aca="false">10*H60</f>
        <v>-46.367989689086</v>
      </c>
      <c r="J60" s="103" t="n">
        <f aca="false">ABS(ABS(F60-G60)-180)</f>
        <v>145.416070297685</v>
      </c>
      <c r="K60" s="6" t="str">
        <f aca="false">IF(ABS(J60)/11.31&lt;1,J60/11.31,"")</f>
        <v/>
      </c>
      <c r="L60" s="6" t="str">
        <f aca="false">IF(ABS(H60)/1.067&lt;1,H60,"")</f>
        <v/>
      </c>
      <c r="M60" s="107" t="str">
        <f aca="false">IF(OR(K60="",L60=""),"",ABS(K60)+ABS(L60))</f>
        <v/>
      </c>
    </row>
    <row r="61" customFormat="false" ht="17.75" hidden="false" customHeight="true" outlineLevel="0" collapsed="false">
      <c r="C61" s="2" t="n">
        <f aca="false">sol_ecl!$C$61</f>
        <v>1</v>
      </c>
      <c r="D61" s="2" t="n">
        <f aca="false">sol_ecl!$D$61</f>
        <v>3</v>
      </c>
      <c r="E61" s="102" t="n">
        <f aca="false">sol_ecl!$E$61</f>
        <v>60</v>
      </c>
      <c r="F61" s="6" t="n">
        <f aca="false">calc!$AN$61</f>
        <v>338.789027951449</v>
      </c>
      <c r="G61" s="16" t="n">
        <f aca="false">sol_ecl!$H$61</f>
        <v>317.587759721713</v>
      </c>
      <c r="H61" s="6" t="n">
        <f aca="false">calc!$Z$61</f>
        <v>-4.96927751428154</v>
      </c>
      <c r="I61" s="112" t="n">
        <f aca="false">10*H61</f>
        <v>-49.6927751428154</v>
      </c>
      <c r="J61" s="103" t="n">
        <f aca="false">ABS(ABS(F61-G61)-180)</f>
        <v>158.798731770265</v>
      </c>
      <c r="K61" s="6" t="str">
        <f aca="false">IF(ABS(J61)/11.31&lt;1,J61/11.31,"")</f>
        <v/>
      </c>
      <c r="L61" s="6" t="str">
        <f aca="false">IF(ABS(H61)/1.067&lt;1,H61,"")</f>
        <v/>
      </c>
      <c r="M61" s="107" t="str">
        <f aca="false">IF(OR(K61="",L61=""),"",ABS(K61)+ABS(L61))</f>
        <v/>
      </c>
    </row>
    <row r="62" customFormat="false" ht="17.75" hidden="false" customHeight="true" outlineLevel="0" collapsed="false">
      <c r="C62" s="2" t="n">
        <f aca="false">sol_ecl!$C$62</f>
        <v>2</v>
      </c>
      <c r="D62" s="2" t="n">
        <f aca="false">sol_ecl!$D$62</f>
        <v>3</v>
      </c>
      <c r="E62" s="102" t="n">
        <f aca="false">sol_ecl!$E$62</f>
        <v>61</v>
      </c>
      <c r="F62" s="6" t="n">
        <f aca="false">calc!$AN$62</f>
        <v>339.77467531523</v>
      </c>
      <c r="G62" s="16" t="n">
        <f aca="false">sol_ecl!$H$62</f>
        <v>331.820500604341</v>
      </c>
      <c r="H62" s="6" t="n">
        <f aca="false">calc!$Z$62</f>
        <v>-4.98997406485398</v>
      </c>
      <c r="I62" s="112" t="n">
        <f aca="false">10*H62</f>
        <v>-49.8997406485398</v>
      </c>
      <c r="J62" s="103" t="n">
        <f aca="false">ABS(ABS(F62-G62)-180)</f>
        <v>172.045825289111</v>
      </c>
      <c r="K62" s="6" t="str">
        <f aca="false">IF(ABS(J62)/11.31&lt;1,J62/11.31,"")</f>
        <v/>
      </c>
      <c r="L62" s="6" t="str">
        <f aca="false">IF(ABS(H62)/1.067&lt;1,H62,"")</f>
        <v/>
      </c>
      <c r="M62" s="107" t="str">
        <f aca="false">IF(OR(K62="",L62=""),"",ABS(K62)+ABS(L62))</f>
        <v/>
      </c>
    </row>
    <row r="63" customFormat="false" ht="17.75" hidden="false" customHeight="true" outlineLevel="0" collapsed="false">
      <c r="C63" s="2" t="n">
        <f aca="false">sol_ecl!$C$63</f>
        <v>3</v>
      </c>
      <c r="D63" s="2" t="n">
        <f aca="false">sol_ecl!$D$63</f>
        <v>3</v>
      </c>
      <c r="E63" s="102" t="n">
        <f aca="false">sol_ecl!$E$63</f>
        <v>62</v>
      </c>
      <c r="F63" s="6" t="n">
        <f aca="false">calc!$AN$63</f>
        <v>340.760322679014</v>
      </c>
      <c r="G63" s="16" t="n">
        <f aca="false">sol_ecl!$H$63</f>
        <v>345.820162132696</v>
      </c>
      <c r="H63" s="6" t="n">
        <f aca="false">calc!$Z$63</f>
        <v>-4.7091532528662</v>
      </c>
      <c r="I63" s="112" t="n">
        <f aca="false">10*H63</f>
        <v>-47.091532528662</v>
      </c>
      <c r="J63" s="103" t="n">
        <f aca="false">ABS(ABS(F63-G63)-180)</f>
        <v>174.940160546319</v>
      </c>
      <c r="K63" s="6" t="str">
        <f aca="false">IF(ABS(J63)/11.31&lt;1,J63/11.31,"")</f>
        <v/>
      </c>
      <c r="L63" s="6" t="str">
        <f aca="false">IF(ABS(H63)/1.067&lt;1,H63,"")</f>
        <v/>
      </c>
      <c r="M63" s="107" t="str">
        <f aca="false">IF(OR(K63="",L63=""),"",ABS(K63)+ABS(L63))</f>
        <v/>
      </c>
    </row>
    <row r="64" customFormat="false" ht="17.75" hidden="false" customHeight="true" outlineLevel="0" collapsed="false">
      <c r="C64" s="2" t="n">
        <f aca="false">sol_ecl!$C$64</f>
        <v>4</v>
      </c>
      <c r="D64" s="2" t="n">
        <f aca="false">sol_ecl!$D$64</f>
        <v>3</v>
      </c>
      <c r="E64" s="102" t="n">
        <f aca="false">sol_ecl!$E$64</f>
        <v>63</v>
      </c>
      <c r="F64" s="6" t="n">
        <f aca="false">calc!$AN$64</f>
        <v>341.745970042799</v>
      </c>
      <c r="G64" s="16" t="n">
        <f aca="false">sol_ecl!$H$64</f>
        <v>359.505685564859</v>
      </c>
      <c r="H64" s="6" t="n">
        <f aca="false">calc!$Z$64</f>
        <v>-4.16098300614882</v>
      </c>
      <c r="I64" s="112" t="n">
        <f aca="false">10*H64</f>
        <v>-41.6098300614882</v>
      </c>
      <c r="J64" s="103" t="n">
        <f aca="false">ABS(ABS(F64-G64)-180)</f>
        <v>162.24028447794</v>
      </c>
      <c r="K64" s="6" t="str">
        <f aca="false">IF(ABS(J64)/11.31&lt;1,J64/11.31,"")</f>
        <v/>
      </c>
      <c r="L64" s="6" t="str">
        <f aca="false">IF(ABS(H64)/1.067&lt;1,H64,"")</f>
        <v/>
      </c>
      <c r="M64" s="107" t="str">
        <f aca="false">IF(OR(K64="",L64=""),"",ABS(K64)+ABS(L64))</f>
        <v/>
      </c>
    </row>
    <row r="65" customFormat="false" ht="17.75" hidden="false" customHeight="true" outlineLevel="0" collapsed="false">
      <c r="C65" s="2" t="n">
        <f aca="false">sol_ecl!$C$65</f>
        <v>5</v>
      </c>
      <c r="D65" s="2" t="n">
        <f aca="false">sol_ecl!$D$65</f>
        <v>3</v>
      </c>
      <c r="E65" s="102" t="n">
        <f aca="false">sol_ecl!$E$65</f>
        <v>64</v>
      </c>
      <c r="F65" s="6" t="n">
        <f aca="false">calc!$AN$65</f>
        <v>342.731617406584</v>
      </c>
      <c r="G65" s="16" t="n">
        <f aca="false">sol_ecl!$H$65</f>
        <v>12.8250694775143</v>
      </c>
      <c r="H65" s="6" t="n">
        <f aca="false">calc!$Z$65</f>
        <v>-3.39607994064013</v>
      </c>
      <c r="I65" s="112" t="n">
        <f aca="false">10*H65</f>
        <v>-33.9607994064013</v>
      </c>
      <c r="J65" s="103" t="n">
        <f aca="false">ABS(ABS(F65-G65)-180)</f>
        <v>149.906547929069</v>
      </c>
      <c r="K65" s="6" t="str">
        <f aca="false">IF(ABS(J65)/11.31&lt;1,J65/11.31,"")</f>
        <v/>
      </c>
      <c r="L65" s="6" t="str">
        <f aca="false">IF(ABS(H65)/1.067&lt;1,H65,"")</f>
        <v/>
      </c>
      <c r="M65" s="107" t="str">
        <f aca="false">IF(OR(K65="",L65=""),"",ABS(K65)+ABS(L65))</f>
        <v/>
      </c>
    </row>
    <row r="66" customFormat="false" ht="17.75" hidden="false" customHeight="true" outlineLevel="0" collapsed="false">
      <c r="C66" s="2" t="n">
        <f aca="false">sol_ecl!$C$66</f>
        <v>6</v>
      </c>
      <c r="D66" s="2" t="n">
        <f aca="false">sol_ecl!$D$66</f>
        <v>3</v>
      </c>
      <c r="E66" s="102" t="n">
        <f aca="false">sol_ecl!$E$66</f>
        <v>65</v>
      </c>
      <c r="F66" s="6" t="n">
        <f aca="false">calc!$AN$66</f>
        <v>343.717264770368</v>
      </c>
      <c r="G66" s="16" t="n">
        <f aca="false">sol_ecl!$H$66</f>
        <v>25.7623274265111</v>
      </c>
      <c r="H66" s="6" t="n">
        <f aca="false">calc!$Z$66</f>
        <v>-2.47265742452658</v>
      </c>
      <c r="I66" s="112" t="n">
        <f aca="false">10*H66</f>
        <v>-24.7265742452658</v>
      </c>
      <c r="J66" s="103" t="n">
        <f aca="false">ABS(ABS(F66-G66)-180)</f>
        <v>137.954937343857</v>
      </c>
      <c r="K66" s="6" t="str">
        <f aca="false">IF(ABS(J66)/11.31&lt;1,J66/11.31,"")</f>
        <v/>
      </c>
      <c r="L66" s="6" t="str">
        <f aca="false">IF(ABS(H66)/1.067&lt;1,H66,"")</f>
        <v/>
      </c>
      <c r="M66" s="107" t="str">
        <f aca="false">IF(OR(K66="",L66=""),"",ABS(K66)+ABS(L66))</f>
        <v/>
      </c>
    </row>
    <row r="67" customFormat="false" ht="17.75" hidden="false" customHeight="true" outlineLevel="0" collapsed="false">
      <c r="C67" s="2" t="n">
        <f aca="false">sol_ecl!$C$67</f>
        <v>7</v>
      </c>
      <c r="D67" s="2" t="n">
        <f aca="false">sol_ecl!$D$67</f>
        <v>3</v>
      </c>
      <c r="E67" s="102" t="n">
        <f aca="false">sol_ecl!$E$67</f>
        <v>66</v>
      </c>
      <c r="F67" s="6" t="n">
        <f aca="false">calc!$AN$67</f>
        <v>344.702912134155</v>
      </c>
      <c r="G67" s="16" t="n">
        <f aca="false">sol_ecl!$H$67</f>
        <v>38.3378132025819</v>
      </c>
      <c r="H67" s="6" t="n">
        <f aca="false">calc!$Z$67</f>
        <v>-1.44898146093675</v>
      </c>
      <c r="I67" s="112" t="n">
        <f aca="false">10*H67</f>
        <v>-14.4898146093675</v>
      </c>
      <c r="J67" s="103" t="n">
        <f aca="false">ABS(ABS(F67-G67)-180)</f>
        <v>126.365098931573</v>
      </c>
      <c r="K67" s="6" t="str">
        <f aca="false">IF(ABS(J67)/11.31&lt;1,J67/11.31,"")</f>
        <v/>
      </c>
      <c r="L67" s="6" t="str">
        <f aca="false">IF(ABS(H67)/1.067&lt;1,H67,"")</f>
        <v/>
      </c>
      <c r="M67" s="107" t="str">
        <f aca="false">IF(OR(K67="",L67=""),"",ABS(K67)+ABS(L67))</f>
        <v/>
      </c>
    </row>
    <row r="68" customFormat="false" ht="17.75" hidden="false" customHeight="true" outlineLevel="0" collapsed="false">
      <c r="C68" s="2" t="n">
        <f aca="false">sol_ecl!$C$68</f>
        <v>8</v>
      </c>
      <c r="D68" s="2" t="n">
        <f aca="false">sol_ecl!$D$68</f>
        <v>3</v>
      </c>
      <c r="E68" s="102" t="n">
        <f aca="false">sol_ecl!$E$68</f>
        <v>67</v>
      </c>
      <c r="F68" s="6" t="n">
        <f aca="false">calc!$AN$68</f>
        <v>345.688559497939</v>
      </c>
      <c r="G68" s="16" t="n">
        <f aca="false">sol_ecl!$H$68</f>
        <v>50.6028413038316</v>
      </c>
      <c r="H68" s="6" t="n">
        <f aca="false">calc!$Z$68</f>
        <v>-0.37870377658578</v>
      </c>
      <c r="I68" s="112" t="n">
        <f aca="false">10*H68</f>
        <v>-3.7870377658578</v>
      </c>
      <c r="J68" s="103" t="n">
        <f aca="false">ABS(ABS(F68-G68)-180)</f>
        <v>115.085718194108</v>
      </c>
      <c r="K68" s="6" t="str">
        <f aca="false">IF(ABS(J68)/11.31&lt;1,J68/11.31,"")</f>
        <v/>
      </c>
      <c r="L68" s="6" t="n">
        <f aca="false">IF(ABS(H68)/1.067&lt;1,H68,"")</f>
        <v>-0.37870377658578</v>
      </c>
      <c r="M68" s="107" t="str">
        <f aca="false">IF(OR(K68="",L68=""),"",ABS(K68)+ABS(L68))</f>
        <v/>
      </c>
    </row>
    <row r="69" customFormat="false" ht="17.75" hidden="false" customHeight="true" outlineLevel="0" collapsed="false">
      <c r="C69" s="2" t="n">
        <f aca="false">sol_ecl!$C$69</f>
        <v>9</v>
      </c>
      <c r="D69" s="2" t="n">
        <f aca="false">sol_ecl!$D$69</f>
        <v>3</v>
      </c>
      <c r="E69" s="102" t="n">
        <f aca="false">sol_ecl!$E$69</f>
        <v>68</v>
      </c>
      <c r="F69" s="6" t="n">
        <f aca="false">calc!$AN$69</f>
        <v>346.674206861728</v>
      </c>
      <c r="G69" s="16" t="n">
        <f aca="false">sol_ecl!$H$69</f>
        <v>62.6308845165425</v>
      </c>
      <c r="H69" s="6" t="n">
        <f aca="false">calc!$Z$69</f>
        <v>0.690814493374098</v>
      </c>
      <c r="I69" s="112" t="n">
        <f aca="false">10*H69</f>
        <v>6.90814493374098</v>
      </c>
      <c r="J69" s="103" t="n">
        <f aca="false">ABS(ABS(F69-G69)-180)</f>
        <v>104.043322345185</v>
      </c>
      <c r="K69" s="6" t="str">
        <f aca="false">IF(ABS(J69)/11.31&lt;1,J69/11.31,"")</f>
        <v/>
      </c>
      <c r="L69" s="6" t="n">
        <f aca="false">IF(ABS(H69)/1.067&lt;1,H69,"")</f>
        <v>0.690814493374098</v>
      </c>
      <c r="M69" s="107" t="str">
        <f aca="false">IF(OR(K69="",L69=""),"",ABS(K69)+ABS(L69))</f>
        <v/>
      </c>
    </row>
    <row r="70" customFormat="false" ht="17.75" hidden="false" customHeight="true" outlineLevel="0" collapsed="false">
      <c r="C70" s="2" t="n">
        <f aca="false">sol_ecl!$C$70</f>
        <v>10</v>
      </c>
      <c r="D70" s="2" t="n">
        <f aca="false">sol_ecl!$D$70</f>
        <v>3</v>
      </c>
      <c r="E70" s="102" t="n">
        <f aca="false">sol_ecl!$E$70</f>
        <v>69</v>
      </c>
      <c r="F70" s="6" t="n">
        <f aca="false">calc!$AN$70</f>
        <v>347.659854225512</v>
      </c>
      <c r="G70" s="16" t="n">
        <f aca="false">sol_ecl!$H$70</f>
        <v>74.5080126763305</v>
      </c>
      <c r="H70" s="6" t="n">
        <f aca="false">calc!$Z$70</f>
        <v>1.71806086572641</v>
      </c>
      <c r="I70" s="112" t="n">
        <f aca="false">10*H70</f>
        <v>17.1806086572641</v>
      </c>
      <c r="J70" s="103" t="n">
        <f aca="false">ABS(ABS(F70-G70)-180)</f>
        <v>93.1518415491819</v>
      </c>
      <c r="K70" s="6" t="str">
        <f aca="false">IF(ABS(J70)/11.31&lt;1,J70/11.31,"")</f>
        <v/>
      </c>
      <c r="L70" s="6" t="str">
        <f aca="false">IF(ABS(H70)/1.067&lt;1,H70,"")</f>
        <v/>
      </c>
      <c r="M70" s="107" t="str">
        <f aca="false">IF(OR(K70="",L70=""),"",ABS(K70)+ABS(L70))</f>
        <v/>
      </c>
    </row>
    <row r="71" customFormat="false" ht="17.75" hidden="false" customHeight="true" outlineLevel="0" collapsed="false">
      <c r="C71" s="2" t="n">
        <f aca="false">sol_ecl!$C$71</f>
        <v>11</v>
      </c>
      <c r="D71" s="2" t="n">
        <f aca="false">sol_ecl!$D$71</f>
        <v>3</v>
      </c>
      <c r="E71" s="102" t="n">
        <f aca="false">sol_ecl!$E$71</f>
        <v>70</v>
      </c>
      <c r="F71" s="6" t="n">
        <f aca="false">calc!$AN$71</f>
        <v>348.645501589303</v>
      </c>
      <c r="G71" s="16" t="n">
        <f aca="false">sol_ecl!$H$71</f>
        <v>86.3246378352171</v>
      </c>
      <c r="H71" s="6" t="n">
        <f aca="false">calc!$Z$71</f>
        <v>2.66593474016499</v>
      </c>
      <c r="I71" s="112" t="n">
        <f aca="false">10*H71</f>
        <v>26.6593474016499</v>
      </c>
      <c r="J71" s="103" t="n">
        <f aca="false">ABS(ABS(F71-G71)-180)</f>
        <v>82.3208637540854</v>
      </c>
      <c r="K71" s="6" t="str">
        <f aca="false">IF(ABS(J71)/11.31&lt;1,J71/11.31,"")</f>
        <v/>
      </c>
      <c r="L71" s="6" t="str">
        <f aca="false">IF(ABS(H71)/1.067&lt;1,H71,"")</f>
        <v/>
      </c>
      <c r="M71" s="107" t="str">
        <f aca="false">IF(OR(K71="",L71=""),"",ABS(K71)+ABS(L71))</f>
        <v/>
      </c>
    </row>
    <row r="72" customFormat="false" ht="17.75" hidden="false" customHeight="true" outlineLevel="0" collapsed="false">
      <c r="C72" s="2" t="n">
        <f aca="false">sol_ecl!$C$72</f>
        <v>12</v>
      </c>
      <c r="D72" s="2" t="n">
        <f aca="false">sol_ecl!$D$72</f>
        <v>3</v>
      </c>
      <c r="E72" s="102" t="n">
        <f aca="false">sol_ecl!$E$72</f>
        <v>71</v>
      </c>
      <c r="F72" s="6" t="n">
        <f aca="false">calc!$AN$72</f>
        <v>349.631148953089</v>
      </c>
      <c r="G72" s="16" t="n">
        <f aca="false">sol_ecl!$H$72</f>
        <v>98.1694258505817</v>
      </c>
      <c r="H72" s="6" t="n">
        <f aca="false">calc!$Z$72</f>
        <v>3.50017489899978</v>
      </c>
      <c r="I72" s="112" t="n">
        <f aca="false">10*H72</f>
        <v>35.0017489899978</v>
      </c>
      <c r="J72" s="103" t="n">
        <f aca="false">ABS(ABS(F72-G72)-180)</f>
        <v>71.4617231025073</v>
      </c>
      <c r="K72" s="6" t="str">
        <f aca="false">IF(ABS(J72)/11.31&lt;1,J72/11.31,"")</f>
        <v/>
      </c>
      <c r="L72" s="6" t="str">
        <f aca="false">IF(ABS(H72)/1.067&lt;1,H72,"")</f>
        <v/>
      </c>
      <c r="M72" s="107" t="str">
        <f aca="false">IF(OR(K72="",L72=""),"",ABS(K72)+ABS(L72))</f>
        <v/>
      </c>
    </row>
    <row r="73" customFormat="false" ht="17.75" hidden="false" customHeight="true" outlineLevel="0" collapsed="false">
      <c r="C73" s="2" t="n">
        <f aca="false">sol_ecl!$C$73</f>
        <v>13</v>
      </c>
      <c r="D73" s="2" t="n">
        <f aca="false">sol_ecl!$D$73</f>
        <v>3</v>
      </c>
      <c r="E73" s="102" t="n">
        <f aca="false">sol_ecl!$E$73</f>
        <v>72</v>
      </c>
      <c r="F73" s="6" t="n">
        <f aca="false">calc!$AN$73</f>
        <v>350.616796316877</v>
      </c>
      <c r="G73" s="16" t="n">
        <f aca="false">sol_ecl!$H$73</f>
        <v>110.125006477813</v>
      </c>
      <c r="H73" s="6" t="n">
        <f aca="false">calc!$Z$73</f>
        <v>4.18813240415431</v>
      </c>
      <c r="I73" s="112" t="n">
        <f aca="false">10*H73</f>
        <v>41.8813240415431</v>
      </c>
      <c r="J73" s="103" t="n">
        <f aca="false">ABS(ABS(F73-G73)-180)</f>
        <v>60.4917898390639</v>
      </c>
      <c r="K73" s="6" t="str">
        <f aca="false">IF(ABS(J73)/11.31&lt;1,J73/11.31,"")</f>
        <v/>
      </c>
      <c r="L73" s="6" t="str">
        <f aca="false">IF(ABS(H73)/1.067&lt;1,H73,"")</f>
        <v/>
      </c>
      <c r="M73" s="107" t="str">
        <f aca="false">IF(OR(K73="",L73=""),"",ABS(K73)+ABS(L73))</f>
        <v/>
      </c>
    </row>
    <row r="74" customFormat="false" ht="17.75" hidden="false" customHeight="true" outlineLevel="0" collapsed="false">
      <c r="C74" s="2" t="n">
        <f aca="false">sol_ecl!$C$74</f>
        <v>14</v>
      </c>
      <c r="D74" s="2" t="n">
        <f aca="false">sol_ecl!$D$74</f>
        <v>3</v>
      </c>
      <c r="E74" s="102" t="n">
        <f aca="false">sol_ecl!$E$74</f>
        <v>73</v>
      </c>
      <c r="F74" s="6" t="n">
        <f aca="false">calc!$AN$74</f>
        <v>351.602443680666</v>
      </c>
      <c r="G74" s="16" t="n">
        <f aca="false">sol_ecl!$H$74</f>
        <v>122.264402835736</v>
      </c>
      <c r="H74" s="6" t="n">
        <f aca="false">calc!$Z$74</f>
        <v>4.69817708743266</v>
      </c>
      <c r="I74" s="112" t="n">
        <f aca="false">10*H74</f>
        <v>46.9817708743266</v>
      </c>
      <c r="J74" s="103" t="n">
        <f aca="false">ABS(ABS(F74-G74)-180)</f>
        <v>49.3380408449295</v>
      </c>
      <c r="K74" s="6" t="str">
        <f aca="false">IF(ABS(J74)/11.31&lt;1,J74/11.31,"")</f>
        <v/>
      </c>
      <c r="L74" s="6" t="str">
        <f aca="false">IF(ABS(H74)/1.067&lt;1,H74,"")</f>
        <v/>
      </c>
      <c r="M74" s="107" t="str">
        <f aca="false">IF(OR(K74="",L74=""),"",ABS(K74)+ABS(L74))</f>
        <v/>
      </c>
    </row>
    <row r="75" customFormat="false" ht="17.75" hidden="false" customHeight="true" outlineLevel="0" collapsed="false">
      <c r="C75" s="2" t="n">
        <f aca="false">sol_ecl!$C$75</f>
        <v>15</v>
      </c>
      <c r="D75" s="2" t="n">
        <f aca="false">sol_ecl!$D$75</f>
        <v>3</v>
      </c>
      <c r="E75" s="102" t="n">
        <f aca="false">sol_ecl!$E$75</f>
        <v>74</v>
      </c>
      <c r="F75" s="6" t="n">
        <f aca="false">calc!$AN$75</f>
        <v>352.588091044456</v>
      </c>
      <c r="G75" s="16" t="n">
        <f aca="false">sol_ecl!$H$75</f>
        <v>134.647176390093</v>
      </c>
      <c r="H75" s="6" t="n">
        <f aca="false">calc!$Z$75</f>
        <v>5.00006954429114</v>
      </c>
      <c r="I75" s="112" t="n">
        <f aca="false">10*H75</f>
        <v>50.0006954429114</v>
      </c>
      <c r="J75" s="103" t="n">
        <f aca="false">ABS(ABS(F75-G75)-180)</f>
        <v>37.9409146543632</v>
      </c>
      <c r="K75" s="6" t="str">
        <f aca="false">IF(ABS(J75)/11.31&lt;1,J75/11.31,"")</f>
        <v/>
      </c>
      <c r="L75" s="6" t="str">
        <f aca="false">IF(ABS(H75)/1.067&lt;1,H75,"")</f>
        <v/>
      </c>
      <c r="M75" s="107" t="str">
        <f aca="false">IF(OR(K75="",L75=""),"",ABS(K75)+ABS(L75))</f>
        <v/>
      </c>
    </row>
    <row r="76" customFormat="false" ht="17.75" hidden="false" customHeight="true" outlineLevel="0" collapsed="false">
      <c r="C76" s="2" t="n">
        <f aca="false">sol_ecl!$C$76</f>
        <v>16</v>
      </c>
      <c r="D76" s="2" t="n">
        <f aca="false">sol_ecl!$D$76</f>
        <v>3</v>
      </c>
      <c r="E76" s="102" t="n">
        <f aca="false">sol_ecl!$E$76</f>
        <v>75</v>
      </c>
      <c r="F76" s="6" t="n">
        <f aca="false">calc!$AN$76</f>
        <v>353.573738408248</v>
      </c>
      <c r="G76" s="16" t="n">
        <f aca="false">sol_ecl!$H$76</f>
        <v>147.315040685009</v>
      </c>
      <c r="H76" s="6" t="n">
        <f aca="false">calc!$Z$76</f>
        <v>5.06672676479048</v>
      </c>
      <c r="I76" s="112" t="n">
        <f aca="false">10*H76</f>
        <v>50.6672676479048</v>
      </c>
      <c r="J76" s="103" t="n">
        <f aca="false">ABS(ABS(F76-G76)-180)</f>
        <v>26.2586977232388</v>
      </c>
      <c r="K76" s="6" t="str">
        <f aca="false">IF(ABS(J76)/11.31&lt;1,J76/11.31,"")</f>
        <v/>
      </c>
      <c r="L76" s="6" t="str">
        <f aca="false">IF(ABS(H76)/1.067&lt;1,H76,"")</f>
        <v/>
      </c>
      <c r="M76" s="107" t="str">
        <f aca="false">IF(OR(K76="",L76=""),"",ABS(K76)+ABS(L76))</f>
        <v/>
      </c>
    </row>
    <row r="77" customFormat="false" ht="17.75" hidden="false" customHeight="true" outlineLevel="0" collapsed="false">
      <c r="C77" s="2" t="n">
        <f aca="false">sol_ecl!$C$77</f>
        <v>17</v>
      </c>
      <c r="D77" s="2" t="n">
        <f aca="false">sol_ecl!$D$77</f>
        <v>3</v>
      </c>
      <c r="E77" s="102" t="n">
        <f aca="false">sol_ecl!$E$77</f>
        <v>76</v>
      </c>
      <c r="F77" s="6" t="n">
        <f aca="false">calc!$AN$77</f>
        <v>354.559385772038</v>
      </c>
      <c r="G77" s="16" t="n">
        <f aca="false">sol_ecl!$H$77</f>
        <v>160.287714436012</v>
      </c>
      <c r="H77" s="6" t="n">
        <f aca="false">calc!$Z$77</f>
        <v>4.8776744428877</v>
      </c>
      <c r="I77" s="112" t="n">
        <f aca="false">10*H77</f>
        <v>48.776744428877</v>
      </c>
      <c r="J77" s="103" t="n">
        <f aca="false">ABS(ABS(F77-G77)-180)</f>
        <v>14.2716713360258</v>
      </c>
      <c r="K77" s="6" t="str">
        <f aca="false">IF(ABS(J77)/11.31&lt;1,J77/11.31,"")</f>
        <v/>
      </c>
      <c r="L77" s="6" t="str">
        <f aca="false">IF(ABS(H77)/1.067&lt;1,H77,"")</f>
        <v/>
      </c>
      <c r="M77" s="107" t="str">
        <f aca="false">IF(OR(K77="",L77=""),"",ABS(K77)+ABS(L77))</f>
        <v/>
      </c>
    </row>
    <row r="78" customFormat="false" ht="17.75" hidden="false" customHeight="true" outlineLevel="0" collapsed="false">
      <c r="C78" s="2" t="n">
        <f aca="false">sol_ecl!$C$78</f>
        <v>18</v>
      </c>
      <c r="D78" s="2" t="n">
        <f aca="false">sol_ecl!$D$78</f>
        <v>3</v>
      </c>
      <c r="E78" s="102" t="n">
        <f aca="false">sol_ecl!$E$78</f>
        <v>77</v>
      </c>
      <c r="F78" s="6" t="n">
        <f aca="false">calc!$AN$78</f>
        <v>355.545033135828</v>
      </c>
      <c r="G78" s="16" t="n">
        <f aca="false">sol_ecl!$H$78</f>
        <v>173.560517351659</v>
      </c>
      <c r="H78" s="6" t="n">
        <f aca="false">calc!$Z$78</f>
        <v>4.42393463221455</v>
      </c>
      <c r="I78" s="112" t="n">
        <f aca="false">10*H78</f>
        <v>44.2393463221455</v>
      </c>
      <c r="J78" s="103" t="n">
        <f aca="false">ABS(ABS(F78-G78)-180)</f>
        <v>1.98451578416896</v>
      </c>
      <c r="K78" s="6" t="n">
        <f aca="false">IF(ABS(J78)/11.31&lt;1,J78/11.31,"")</f>
        <v>0.175465586575505</v>
      </c>
      <c r="L78" s="6" t="str">
        <f aca="false">IF(ABS(H78)/1.067&lt;1,H78,"")</f>
        <v/>
      </c>
      <c r="M78" s="107" t="str">
        <f aca="false">IF(OR(K78="",L78=""),"",ABS(K78)+ABS(L78))</f>
        <v/>
      </c>
    </row>
    <row r="79" customFormat="false" ht="17.75" hidden="false" customHeight="true" outlineLevel="0" collapsed="false">
      <c r="C79" s="2" t="n">
        <f aca="false">sol_ecl!$C$79</f>
        <v>19</v>
      </c>
      <c r="D79" s="2" t="n">
        <f aca="false">sol_ecl!$D$79</f>
        <v>3</v>
      </c>
      <c r="E79" s="102" t="n">
        <f aca="false">sol_ecl!$E$79</f>
        <v>78</v>
      </c>
      <c r="F79" s="6" t="n">
        <f aca="false">calc!$AN$79</f>
        <v>356.53068049962</v>
      </c>
      <c r="G79" s="16" t="n">
        <f aca="false">sol_ecl!$H$79</f>
        <v>187.105237679086</v>
      </c>
      <c r="H79" s="6" t="n">
        <f aca="false">calc!$Z$79</f>
        <v>3.71325873932798</v>
      </c>
      <c r="I79" s="112" t="n">
        <f aca="false">10*H79</f>
        <v>37.1325873932798</v>
      </c>
      <c r="J79" s="103" t="n">
        <f aca="false">ABS(ABS(F79-G79)-180)</f>
        <v>10.5745571794666</v>
      </c>
      <c r="K79" s="6" t="n">
        <f aca="false">IF(ABS(J79)/11.31&lt;1,J79/11.31,"")</f>
        <v>0.934974109590323</v>
      </c>
      <c r="L79" s="6" t="str">
        <f aca="false">IF(ABS(H79)/1.067&lt;1,H79,"")</f>
        <v/>
      </c>
      <c r="M79" s="107" t="str">
        <f aca="false">IF(OR(K79="",L79=""),"",ABS(K79)+ABS(L79))</f>
        <v/>
      </c>
    </row>
    <row r="80" customFormat="false" ht="17.75" hidden="false" customHeight="true" outlineLevel="0" collapsed="false">
      <c r="C80" s="2" t="n">
        <f aca="false">sol_ecl!$C$80</f>
        <v>20</v>
      </c>
      <c r="D80" s="2" t="n">
        <f aca="false">sol_ecl!$D$80</f>
        <v>3</v>
      </c>
      <c r="E80" s="102" t="n">
        <f aca="false">sol_ecl!$E$80</f>
        <v>79</v>
      </c>
      <c r="F80" s="6" t="n">
        <f aca="false">calc!$AN$80</f>
        <v>357.516327863412</v>
      </c>
      <c r="G80" s="16" t="n">
        <f aca="false">sol_ecl!$H$80</f>
        <v>200.875012233818</v>
      </c>
      <c r="H80" s="6" t="n">
        <f aca="false">calc!$Z$80</f>
        <v>2.77393081049199</v>
      </c>
      <c r="I80" s="112" t="n">
        <f aca="false">10*H80</f>
        <v>27.7393081049199</v>
      </c>
      <c r="J80" s="103" t="n">
        <f aca="false">ABS(ABS(F80-G80)-180)</f>
        <v>23.3586843704062</v>
      </c>
      <c r="K80" s="6" t="str">
        <f aca="false">IF(ABS(J80)/11.31&lt;1,J80/11.31,"")</f>
        <v/>
      </c>
      <c r="L80" s="6" t="str">
        <f aca="false">IF(ABS(H80)/1.067&lt;1,H80,"")</f>
        <v/>
      </c>
      <c r="M80" s="107" t="str">
        <f aca="false">IF(OR(K80="",L80=""),"",ABS(K80)+ABS(L80))</f>
        <v/>
      </c>
    </row>
    <row r="81" customFormat="false" ht="17.75" hidden="false" customHeight="true" outlineLevel="0" collapsed="false">
      <c r="C81" s="2" t="n">
        <f aca="false">sol_ecl!$C$81</f>
        <v>21</v>
      </c>
      <c r="D81" s="2" t="n">
        <f aca="false">sol_ecl!$D$81</f>
        <v>3</v>
      </c>
      <c r="E81" s="102" t="n">
        <f aca="false">sol_ecl!$E$81</f>
        <v>80</v>
      </c>
      <c r="F81" s="6" t="n">
        <f aca="false">calc!$AN$81</f>
        <v>358.501975227204</v>
      </c>
      <c r="G81" s="16" t="n">
        <f aca="false">sol_ecl!$H$81</f>
        <v>214.812624529445</v>
      </c>
      <c r="H81" s="6" t="n">
        <f aca="false">calc!$Z$81</f>
        <v>1.65539148607303</v>
      </c>
      <c r="I81" s="112" t="n">
        <f aca="false">10*H81</f>
        <v>16.5539148607303</v>
      </c>
      <c r="J81" s="103" t="n">
        <f aca="false">ABS(ABS(F81-G81)-180)</f>
        <v>36.3106493022416</v>
      </c>
      <c r="K81" s="6" t="str">
        <f aca="false">IF(ABS(J81)/11.31&lt;1,J81/11.31,"")</f>
        <v/>
      </c>
      <c r="L81" s="6" t="str">
        <f aca="false">IF(ABS(H81)/1.067&lt;1,H81,"")</f>
        <v/>
      </c>
      <c r="M81" s="107" t="str">
        <f aca="false">IF(OR(K81="",L81=""),"",ABS(K81)+ABS(L81))</f>
        <v/>
      </c>
    </row>
    <row r="82" customFormat="false" ht="17.75" hidden="false" customHeight="true" outlineLevel="0" collapsed="false">
      <c r="C82" s="2" t="n">
        <f aca="false">sol_ecl!$C$82</f>
        <v>22</v>
      </c>
      <c r="D82" s="2" t="n">
        <f aca="false">sol_ecl!$D$82</f>
        <v>3</v>
      </c>
      <c r="E82" s="102" t="n">
        <f aca="false">sol_ecl!$E$82</f>
        <v>81</v>
      </c>
      <c r="F82" s="6" t="n">
        <f aca="false">calc!$AN$82</f>
        <v>359.487622590994</v>
      </c>
      <c r="G82" s="16" t="n">
        <f aca="false">sol_ecl!$H$82</f>
        <v>228.860281846406</v>
      </c>
      <c r="H82" s="6" t="n">
        <f aca="false">calc!$Z$82</f>
        <v>0.424898962946707</v>
      </c>
      <c r="I82" s="112" t="n">
        <f aca="false">10*H82</f>
        <v>4.24898962946707</v>
      </c>
      <c r="J82" s="103" t="n">
        <f aca="false">ABS(ABS(F82-G82)-180)</f>
        <v>49.3726592554121</v>
      </c>
      <c r="K82" s="6" t="str">
        <f aca="false">IF(ABS(J82)/11.31&lt;1,J82/11.31,"")</f>
        <v/>
      </c>
      <c r="L82" s="6" t="n">
        <f aca="false">IF(ABS(H82)/1.067&lt;1,H82,"")</f>
        <v>0.424898962946707</v>
      </c>
      <c r="M82" s="107" t="str">
        <f aca="false">IF(OR(K82="",L82=""),"",ABS(K82)+ABS(L82))</f>
        <v/>
      </c>
    </row>
    <row r="83" customFormat="false" ht="17.75" hidden="false" customHeight="true" outlineLevel="0" collapsed="false">
      <c r="C83" s="2" t="n">
        <f aca="false">sol_ecl!$C$83</f>
        <v>23</v>
      </c>
      <c r="D83" s="2" t="n">
        <f aca="false">sol_ecl!$D$83</f>
        <v>3</v>
      </c>
      <c r="E83" s="102" t="n">
        <f aca="false">sol_ecl!$E$83</f>
        <v>82</v>
      </c>
      <c r="F83" s="6" t="n">
        <f aca="false">calc!$AN$83</f>
        <v>0.473269954787611</v>
      </c>
      <c r="G83" s="16" t="n">
        <f aca="false">sol_ecl!$H$83</f>
        <v>242.968162507403</v>
      </c>
      <c r="H83" s="6" t="n">
        <f aca="false">calc!$Z$83</f>
        <v>-0.839063532190848</v>
      </c>
      <c r="I83" s="112" t="n">
        <f aca="false">10*H83</f>
        <v>-8.39063532190848</v>
      </c>
      <c r="J83" s="103" t="n">
        <f aca="false">ABS(ABS(F83-G83)-180)</f>
        <v>62.494892552615</v>
      </c>
      <c r="K83" s="6" t="str">
        <f aca="false">IF(ABS(J83)/11.31&lt;1,J83/11.31,"")</f>
        <v/>
      </c>
      <c r="L83" s="6" t="n">
        <f aca="false">IF(ABS(H83)/1.067&lt;1,H83,"")</f>
        <v>-0.839063532190848</v>
      </c>
      <c r="M83" s="107" t="str">
        <f aca="false">IF(OR(K83="",L83=""),"",ABS(K83)+ABS(L83))</f>
        <v/>
      </c>
    </row>
    <row r="84" customFormat="false" ht="17.75" hidden="false" customHeight="true" outlineLevel="0" collapsed="false">
      <c r="C84" s="2" t="n">
        <f aca="false">sol_ecl!$C$84</f>
        <v>24</v>
      </c>
      <c r="D84" s="2" t="n">
        <f aca="false">sol_ecl!$D$84</f>
        <v>3</v>
      </c>
      <c r="E84" s="102" t="n">
        <f aca="false">sol_ecl!$E$84</f>
        <v>83</v>
      </c>
      <c r="F84" s="6" t="n">
        <f aca="false">calc!$AN$84</f>
        <v>1.45891731857955</v>
      </c>
      <c r="G84" s="16" t="n">
        <f aca="false">sol_ecl!$H$84</f>
        <v>257.099212976232</v>
      </c>
      <c r="H84" s="6" t="n">
        <f aca="false">calc!$Z$84</f>
        <v>-2.05477759238647</v>
      </c>
      <c r="I84" s="112" t="n">
        <f aca="false">10*H84</f>
        <v>-20.5477759238647</v>
      </c>
      <c r="J84" s="103" t="n">
        <f aca="false">ABS(ABS(F84-G84)-180)</f>
        <v>75.6402956576525</v>
      </c>
      <c r="K84" s="6" t="str">
        <f aca="false">IF(ABS(J84)/11.31&lt;1,J84/11.31,"")</f>
        <v/>
      </c>
      <c r="L84" s="6" t="str">
        <f aca="false">IF(ABS(H84)/1.067&lt;1,H84,"")</f>
        <v/>
      </c>
      <c r="M84" s="107" t="str">
        <f aca="false">IF(OR(K84="",L84=""),"",ABS(K84)+ABS(L84))</f>
        <v/>
      </c>
    </row>
    <row r="85" customFormat="false" ht="17.75" hidden="false" customHeight="true" outlineLevel="0" collapsed="false">
      <c r="C85" s="2" t="n">
        <f aca="false">sol_ecl!$C$85</f>
        <v>25</v>
      </c>
      <c r="D85" s="2" t="n">
        <f aca="false">sol_ecl!$D$85</f>
        <v>3</v>
      </c>
      <c r="E85" s="102" t="n">
        <f aca="false">sol_ecl!$E$85</f>
        <v>84</v>
      </c>
      <c r="F85" s="6" t="n">
        <f aca="false">calc!$AN$85</f>
        <v>2.44456468237513</v>
      </c>
      <c r="G85" s="16" t="n">
        <f aca="false">sol_ecl!$H$85</f>
        <v>271.228829524948</v>
      </c>
      <c r="H85" s="6" t="n">
        <f aca="false">calc!$Z$85</f>
        <v>-3.1447082565863</v>
      </c>
      <c r="I85" s="112" t="n">
        <f aca="false">10*H85</f>
        <v>-31.4470825658631</v>
      </c>
      <c r="J85" s="103" t="n">
        <f aca="false">ABS(ABS(F85-G85)-180)</f>
        <v>88.7842648425731</v>
      </c>
      <c r="K85" s="6" t="str">
        <f aca="false">IF(ABS(J85)/11.31&lt;1,J85/11.31,"")</f>
        <v/>
      </c>
      <c r="L85" s="6" t="str">
        <f aca="false">IF(ABS(H85)/1.067&lt;1,H85,"")</f>
        <v/>
      </c>
      <c r="M85" s="107" t="str">
        <f aca="false">IF(OR(K85="",L85=""),"",ABS(K85)+ABS(L85))</f>
        <v/>
      </c>
    </row>
    <row r="86" customFormat="false" ht="17.75" hidden="false" customHeight="true" outlineLevel="0" collapsed="false">
      <c r="C86" s="2" t="n">
        <f aca="false">sol_ecl!$C$86</f>
        <v>26</v>
      </c>
      <c r="D86" s="2" t="n">
        <f aca="false">sol_ecl!$D$86</f>
        <v>3</v>
      </c>
      <c r="E86" s="102" t="n">
        <f aca="false">sol_ecl!$E$86</f>
        <v>85</v>
      </c>
      <c r="F86" s="6" t="n">
        <f aca="false">calc!$AN$86</f>
        <v>3.43021204616889</v>
      </c>
      <c r="G86" s="16" t="n">
        <f aca="false">sol_ecl!$H$86</f>
        <v>285.339795754892</v>
      </c>
      <c r="H86" s="6" t="n">
        <f aca="false">calc!$Z$86</f>
        <v>-4.04125343750652</v>
      </c>
      <c r="I86" s="112" t="n">
        <f aca="false">10*H86</f>
        <v>-40.4125343750652</v>
      </c>
      <c r="J86" s="103" t="n">
        <f aca="false">ABS(ABS(F86-G86)-180)</f>
        <v>101.909583708723</v>
      </c>
      <c r="K86" s="6" t="str">
        <f aca="false">IF(ABS(J86)/11.31&lt;1,J86/11.31,"")</f>
        <v/>
      </c>
      <c r="L86" s="6" t="str">
        <f aca="false">IF(ABS(H86)/1.067&lt;1,H86,"")</f>
        <v/>
      </c>
      <c r="M86" s="107" t="str">
        <f aca="false">IF(OR(K86="",L86=""),"",ABS(K86)+ABS(L86))</f>
        <v/>
      </c>
    </row>
    <row r="87" customFormat="false" ht="17.75" hidden="false" customHeight="true" outlineLevel="0" collapsed="false">
      <c r="C87" s="2" t="n">
        <f aca="false">sol_ecl!$C$87</f>
        <v>27</v>
      </c>
      <c r="D87" s="2" t="n">
        <f aca="false">sol_ecl!$D$87</f>
        <v>3</v>
      </c>
      <c r="E87" s="102" t="n">
        <f aca="false">sol_ecl!$E$87</f>
        <v>86</v>
      </c>
      <c r="F87" s="6" t="n">
        <f aca="false">calc!$AN$87</f>
        <v>4.41585940996447</v>
      </c>
      <c r="G87" s="16" t="n">
        <f aca="false">sol_ecl!$H$87</f>
        <v>299.414528046722</v>
      </c>
      <c r="H87" s="6" t="n">
        <f aca="false">calc!$Z$87</f>
        <v>-4.69085160645408</v>
      </c>
      <c r="I87" s="112" t="n">
        <f aca="false">10*H87</f>
        <v>-46.9085160645408</v>
      </c>
      <c r="J87" s="103" t="n">
        <f aca="false">ABS(ABS(F87-G87)-180)</f>
        <v>114.998668636757</v>
      </c>
      <c r="K87" s="6" t="str">
        <f aca="false">IF(ABS(J87)/11.31&lt;1,J87/11.31,"")</f>
        <v/>
      </c>
      <c r="L87" s="6" t="str">
        <f aca="false">IF(ABS(H87)/1.067&lt;1,H87,"")</f>
        <v/>
      </c>
      <c r="M87" s="107" t="str">
        <f aca="false">IF(OR(K87="",L87=""),"",ABS(K87)+ABS(L87))</f>
        <v/>
      </c>
    </row>
    <row r="88" customFormat="false" ht="17.75" hidden="false" customHeight="true" outlineLevel="0" collapsed="false">
      <c r="C88" s="2" t="n">
        <f aca="false">sol_ecl!$C$88</f>
        <v>28</v>
      </c>
      <c r="D88" s="2" t="n">
        <f aca="false">sol_ecl!$D$88</f>
        <v>3</v>
      </c>
      <c r="E88" s="102" t="n">
        <f aca="false">sol_ecl!$E$88</f>
        <v>87</v>
      </c>
      <c r="F88" s="6" t="n">
        <f aca="false">calc!$AN$88</f>
        <v>5.40150677376005</v>
      </c>
      <c r="G88" s="16" t="n">
        <f aca="false">sol_ecl!$H$88</f>
        <v>313.427666345688</v>
      </c>
      <c r="H88" s="6" t="n">
        <f aca="false">calc!$Z$88</f>
        <v>-5.05705120574829</v>
      </c>
      <c r="I88" s="112" t="n">
        <f aca="false">10*H88</f>
        <v>-50.5705120574829</v>
      </c>
      <c r="J88" s="103" t="n">
        <f aca="false">ABS(ABS(F88-G88)-180)</f>
        <v>128.026159571928</v>
      </c>
      <c r="K88" s="6" t="str">
        <f aca="false">IF(ABS(J88)/11.31&lt;1,J88/11.31,"")</f>
        <v/>
      </c>
      <c r="L88" s="6" t="str">
        <f aca="false">IF(ABS(H88)/1.067&lt;1,H88,"")</f>
        <v/>
      </c>
      <c r="M88" s="107" t="str">
        <f aca="false">IF(OR(K88="",L88=""),"",ABS(K88)+ABS(L88))</f>
        <v/>
      </c>
    </row>
    <row r="89" customFormat="false" ht="17.75" hidden="false" customHeight="true" outlineLevel="0" collapsed="false">
      <c r="C89" s="2" t="n">
        <f aca="false">sol_ecl!$C$89</f>
        <v>29</v>
      </c>
      <c r="D89" s="2" t="n">
        <f aca="false">sol_ecl!$D$89</f>
        <v>3</v>
      </c>
      <c r="E89" s="102" t="n">
        <f aca="false">sol_ecl!$E$89</f>
        <v>88</v>
      </c>
      <c r="F89" s="6" t="n">
        <f aca="false">calc!$AN$89</f>
        <v>6.38715413755563</v>
      </c>
      <c r="G89" s="16" t="n">
        <f aca="false">sol_ecl!$H$89</f>
        <v>327.341950755469</v>
      </c>
      <c r="H89" s="6" t="n">
        <f aca="false">calc!$Z$89</f>
        <v>-5.12288491094002</v>
      </c>
      <c r="I89" s="112" t="n">
        <f aca="false">10*H89</f>
        <v>-51.2288491094002</v>
      </c>
      <c r="J89" s="103" t="n">
        <f aca="false">ABS(ABS(F89-G89)-180)</f>
        <v>140.954796617913</v>
      </c>
      <c r="K89" s="6" t="str">
        <f aca="false">IF(ABS(J89)/11.31&lt;1,J89/11.31,"")</f>
        <v/>
      </c>
      <c r="L89" s="6" t="str">
        <f aca="false">IF(ABS(H89)/1.067&lt;1,H89,"")</f>
        <v/>
      </c>
      <c r="M89" s="107" t="str">
        <f aca="false">IF(OR(K89="",L89=""),"",ABS(K89)+ABS(L89))</f>
        <v/>
      </c>
    </row>
    <row r="90" customFormat="false" ht="17.75" hidden="false" customHeight="true" outlineLevel="0" collapsed="false">
      <c r="C90" s="2" t="n">
        <f aca="false">sol_ecl!$C$90</f>
        <v>30</v>
      </c>
      <c r="D90" s="2" t="n">
        <f aca="false">sol_ecl!$D$90</f>
        <v>3</v>
      </c>
      <c r="E90" s="102" t="n">
        <f aca="false">sol_ecl!$E$90</f>
        <v>89</v>
      </c>
      <c r="F90" s="6" t="n">
        <f aca="false">calc!$AN$90</f>
        <v>7.37280150135121</v>
      </c>
      <c r="G90" s="16" t="n">
        <f aca="false">sol_ecl!$H$90</f>
        <v>341.109168742506</v>
      </c>
      <c r="H90" s="6" t="n">
        <f aca="false">calc!$Z$90</f>
        <v>-4.89217152750564</v>
      </c>
      <c r="I90" s="112" t="n">
        <f aca="false">10*H90</f>
        <v>-48.9217152750564</v>
      </c>
      <c r="J90" s="103" t="n">
        <f aca="false">ABS(ABS(F90-G90)-180)</f>
        <v>153.736367241155</v>
      </c>
      <c r="K90" s="6" t="str">
        <f aca="false">IF(ABS(J90)/11.31&lt;1,J90/11.31,"")</f>
        <v/>
      </c>
      <c r="L90" s="6" t="str">
        <f aca="false">IF(ABS(H90)/1.067&lt;1,H90,"")</f>
        <v/>
      </c>
      <c r="M90" s="107" t="str">
        <f aca="false">IF(OR(K90="",L90=""),"",ABS(K90)+ABS(L90))</f>
        <v/>
      </c>
    </row>
    <row r="91" customFormat="false" ht="17.75" hidden="false" customHeight="true" outlineLevel="0" collapsed="false">
      <c r="C91" s="2" t="n">
        <f aca="false">sol_ecl!$C$91</f>
        <v>31</v>
      </c>
      <c r="D91" s="2" t="n">
        <f aca="false">sol_ecl!$D$91</f>
        <v>3</v>
      </c>
      <c r="E91" s="102" t="n">
        <f aca="false">sol_ecl!$E$91</f>
        <v>90</v>
      </c>
      <c r="F91" s="6" t="n">
        <f aca="false">calc!$AN$91</f>
        <v>8.3584488651486</v>
      </c>
      <c r="G91" s="16" t="n">
        <f aca="false">sol_ecl!$H$91</f>
        <v>354.676171777589</v>
      </c>
      <c r="H91" s="6" t="n">
        <f aca="false">calc!$Z$91</f>
        <v>-4.38889289165057</v>
      </c>
      <c r="I91" s="112" t="n">
        <f aca="false">10*H91</f>
        <v>-43.8889289165057</v>
      </c>
      <c r="J91" s="103" t="n">
        <f aca="false">ABS(ABS(F91-G91)-180)</f>
        <v>166.317722912441</v>
      </c>
      <c r="K91" s="6" t="str">
        <f aca="false">IF(ABS(J91)/11.31&lt;1,J91/11.31,"")</f>
        <v/>
      </c>
      <c r="L91" s="6" t="str">
        <f aca="false">IF(ABS(H91)/1.067&lt;1,H91,"")</f>
        <v/>
      </c>
      <c r="M91" s="107" t="str">
        <f aca="false">IF(OR(K91="",L91=""),"",ABS(K91)+ABS(L91))</f>
        <v/>
      </c>
    </row>
    <row r="92" customFormat="false" ht="17.75" hidden="false" customHeight="true" outlineLevel="0" collapsed="false">
      <c r="C92" s="2" t="n">
        <f aca="false">sol_ecl!$C$92</f>
        <v>1</v>
      </c>
      <c r="D92" s="2" t="n">
        <f aca="false">sol_ecl!$D$92</f>
        <v>4</v>
      </c>
      <c r="E92" s="102" t="n">
        <f aca="false">sol_ecl!$E$92</f>
        <v>91</v>
      </c>
      <c r="F92" s="6" t="n">
        <f aca="false">calc!$AN$92</f>
        <v>9.34409622894418</v>
      </c>
      <c r="G92" s="16" t="n">
        <f aca="false">sol_ecl!$H$92</f>
        <v>7.99421019289873</v>
      </c>
      <c r="H92" s="6" t="n">
        <f aca="false">calc!$Z$92</f>
        <v>-3.65405278407677</v>
      </c>
      <c r="I92" s="112" t="n">
        <f aca="false">10*H92</f>
        <v>-36.5405278407677</v>
      </c>
      <c r="J92" s="103" t="n">
        <f aca="false">ABS(ABS(F92-G92)-180)</f>
        <v>178.650113963955</v>
      </c>
      <c r="K92" s="6" t="str">
        <f aca="false">IF(ABS(J92)/11.31&lt;1,J92/11.31,"")</f>
        <v/>
      </c>
      <c r="L92" s="6" t="str">
        <f aca="false">IF(ABS(H92)/1.067&lt;1,H92,"")</f>
        <v/>
      </c>
      <c r="M92" s="107" t="str">
        <f aca="false">IF(OR(K92="",L92=""),"",ABS(K92)+ABS(L92))</f>
        <v/>
      </c>
    </row>
    <row r="93" customFormat="false" ht="17.75" hidden="false" customHeight="true" outlineLevel="0" collapsed="false">
      <c r="C93" s="2" t="n">
        <f aca="false">sol_ecl!$C$93</f>
        <v>2</v>
      </c>
      <c r="D93" s="2" t="n">
        <f aca="false">sol_ecl!$D$93</f>
        <v>4</v>
      </c>
      <c r="E93" s="102" t="n">
        <f aca="false">sol_ecl!$E$93</f>
        <v>92</v>
      </c>
      <c r="F93" s="6" t="n">
        <f aca="false">calc!$AN$93</f>
        <v>10.3297435927416</v>
      </c>
      <c r="G93" s="16" t="n">
        <f aca="false">sol_ecl!$H$93</f>
        <v>21.0287632680193</v>
      </c>
      <c r="H93" s="6" t="n">
        <f aca="false">calc!$Z$93</f>
        <v>-2.74032307649918</v>
      </c>
      <c r="I93" s="112" t="n">
        <f aca="false">10*H93</f>
        <v>-27.4032307649918</v>
      </c>
      <c r="J93" s="103" t="n">
        <f aca="false">ABS(ABS(F93-G93)-180)</f>
        <v>169.300980324722</v>
      </c>
      <c r="K93" s="6" t="str">
        <f aca="false">IF(ABS(J93)/11.31&lt;1,J93/11.31,"")</f>
        <v/>
      </c>
      <c r="L93" s="6" t="str">
        <f aca="false">IF(ABS(H93)/1.067&lt;1,H93,"")</f>
        <v/>
      </c>
      <c r="M93" s="107" t="str">
        <f aca="false">IF(OR(K93="",L93=""),"",ABS(K93)+ABS(L93))</f>
        <v/>
      </c>
    </row>
    <row r="94" customFormat="false" ht="17.75" hidden="false" customHeight="true" outlineLevel="0" collapsed="false">
      <c r="C94" s="2" t="n">
        <f aca="false">sol_ecl!$C$94</f>
        <v>3</v>
      </c>
      <c r="D94" s="2" t="n">
        <f aca="false">sol_ecl!$D$94</f>
        <v>4</v>
      </c>
      <c r="E94" s="102" t="n">
        <f aca="false">sol_ecl!$E$94</f>
        <v>93</v>
      </c>
      <c r="F94" s="6" t="n">
        <f aca="false">calc!$AN$94</f>
        <v>11.315390956539</v>
      </c>
      <c r="G94" s="16" t="n">
        <f aca="false">sol_ecl!$H$94</f>
        <v>33.7670158809909</v>
      </c>
      <c r="H94" s="6" t="n">
        <f aca="false">calc!$Z$94</f>
        <v>-1.70571747879863</v>
      </c>
      <c r="I94" s="112" t="n">
        <f aca="false">10*H94</f>
        <v>-17.0571747879863</v>
      </c>
      <c r="J94" s="103" t="n">
        <f aca="false">ABS(ABS(F94-G94)-180)</f>
        <v>157.548375075548</v>
      </c>
      <c r="K94" s="6" t="str">
        <f aca="false">IF(ABS(J94)/11.31&lt;1,J94/11.31,"")</f>
        <v/>
      </c>
      <c r="L94" s="6" t="str">
        <f aca="false">IF(ABS(H94)/1.067&lt;1,H94,"")</f>
        <v/>
      </c>
      <c r="M94" s="107" t="str">
        <f aca="false">IF(OR(K94="",L94=""),"",ABS(K94)+ABS(L94))</f>
        <v/>
      </c>
    </row>
    <row r="95" customFormat="false" ht="17.75" hidden="false" customHeight="true" outlineLevel="0" collapsed="false">
      <c r="C95" s="2" t="n">
        <f aca="false">sol_ecl!$C$95</f>
        <v>4</v>
      </c>
      <c r="D95" s="2" t="n">
        <f aca="false">sol_ecl!$D$95</f>
        <v>4</v>
      </c>
      <c r="E95" s="102" t="n">
        <f aca="false">sol_ecl!$E$95</f>
        <v>94</v>
      </c>
      <c r="F95" s="6" t="n">
        <f aca="false">calc!$AN$95</f>
        <v>12.3010383203382</v>
      </c>
      <c r="G95" s="16" t="n">
        <f aca="false">sol_ecl!$H$95</f>
        <v>46.2211080621056</v>
      </c>
      <c r="H95" s="6" t="n">
        <f aca="false">calc!$Z$95</f>
        <v>-0.607880157753333</v>
      </c>
      <c r="I95" s="112" t="n">
        <f aca="false">10*H95</f>
        <v>-6.07880157753333</v>
      </c>
      <c r="J95" s="103" t="n">
        <f aca="false">ABS(ABS(F95-G95)-180)</f>
        <v>146.079930258233</v>
      </c>
      <c r="K95" s="6" t="str">
        <f aca="false">IF(ABS(J95)/11.31&lt;1,J95/11.31,"")</f>
        <v/>
      </c>
      <c r="L95" s="6" t="n">
        <f aca="false">IF(ABS(H95)/1.067&lt;1,H95,"")</f>
        <v>-0.607880157753333</v>
      </c>
      <c r="M95" s="107" t="str">
        <f aca="false">IF(OR(K95="",L95=""),"",ABS(K95)+ABS(L95))</f>
        <v/>
      </c>
    </row>
    <row r="96" customFormat="false" ht="17.75" hidden="false" customHeight="true" outlineLevel="0" collapsed="false">
      <c r="C96" s="2" t="n">
        <f aca="false">sol_ecl!$C$96</f>
        <v>5</v>
      </c>
      <c r="D96" s="2" t="n">
        <f aca="false">sol_ecl!$D$96</f>
        <v>4</v>
      </c>
      <c r="E96" s="102" t="n">
        <f aca="false">sol_ecl!$E$96</f>
        <v>95</v>
      </c>
      <c r="F96" s="6" t="n">
        <f aca="false">calc!$AN$96</f>
        <v>13.2866856841374</v>
      </c>
      <c r="G96" s="16" t="n">
        <f aca="false">sol_ecl!$H$96</f>
        <v>58.4268293492726</v>
      </c>
      <c r="H96" s="6" t="n">
        <f aca="false">calc!$Z$96</f>
        <v>0.499840617095038</v>
      </c>
      <c r="I96" s="112" t="n">
        <f aca="false">10*H96</f>
        <v>4.99840617095038</v>
      </c>
      <c r="J96" s="103" t="n">
        <f aca="false">ABS(ABS(F96-G96)-180)</f>
        <v>134.859856334865</v>
      </c>
      <c r="K96" s="6" t="str">
        <f aca="false">IF(ABS(J96)/11.31&lt;1,J96/11.31,"")</f>
        <v/>
      </c>
      <c r="L96" s="6" t="n">
        <f aca="false">IF(ABS(H96)/1.067&lt;1,H96,"")</f>
        <v>0.499840617095038</v>
      </c>
      <c r="M96" s="107" t="str">
        <f aca="false">IF(OR(K96="",L96=""),"",ABS(K96)+ABS(L96))</f>
        <v/>
      </c>
    </row>
    <row r="97" customFormat="false" ht="17.75" hidden="false" customHeight="true" outlineLevel="0" collapsed="false">
      <c r="C97" s="2" t="n">
        <f aca="false">sol_ecl!$C$97</f>
        <v>6</v>
      </c>
      <c r="D97" s="2" t="n">
        <f aca="false">sol_ecl!$D$97</f>
        <v>4</v>
      </c>
      <c r="E97" s="102" t="n">
        <f aca="false">sol_ecl!$E$97</f>
        <v>96</v>
      </c>
      <c r="F97" s="6" t="n">
        <f aca="false">calc!$AN$97</f>
        <v>14.2723330479384</v>
      </c>
      <c r="G97" s="16" t="n">
        <f aca="false">sol_ecl!$H$97</f>
        <v>70.4389135864027</v>
      </c>
      <c r="H97" s="6" t="n">
        <f aca="false">calc!$Z$97</f>
        <v>1.57020305694761</v>
      </c>
      <c r="I97" s="112" t="n">
        <f aca="false">10*H97</f>
        <v>15.7020305694761</v>
      </c>
      <c r="J97" s="103" t="n">
        <f aca="false">ABS(ABS(F97-G97)-180)</f>
        <v>123.833419461536</v>
      </c>
      <c r="K97" s="6" t="str">
        <f aca="false">IF(ABS(J97)/11.31&lt;1,J97/11.31,"")</f>
        <v/>
      </c>
      <c r="L97" s="6" t="str">
        <f aca="false">IF(ABS(H97)/1.067&lt;1,H97,"")</f>
        <v/>
      </c>
      <c r="M97" s="107" t="str">
        <f aca="false">IF(OR(K97="",L97=""),"",ABS(K97)+ABS(L97))</f>
        <v/>
      </c>
    </row>
    <row r="98" customFormat="false" ht="17.75" hidden="false" customHeight="true" outlineLevel="0" collapsed="false">
      <c r="C98" s="2" t="n">
        <f aca="false">sol_ecl!$C$98</f>
        <v>7</v>
      </c>
      <c r="D98" s="2" t="n">
        <f aca="false">sol_ecl!$D$98</f>
        <v>4</v>
      </c>
      <c r="E98" s="102" t="n">
        <f aca="false">sol_ecl!$E$98</f>
        <v>97</v>
      </c>
      <c r="F98" s="6" t="n">
        <f aca="false">calc!$AN$98</f>
        <v>15.257980411734</v>
      </c>
      <c r="G98" s="16" t="n">
        <f aca="false">sol_ecl!$H$98</f>
        <v>82.3249376839957</v>
      </c>
      <c r="H98" s="6" t="n">
        <f aca="false">calc!$Z$98</f>
        <v>2.56217095498147</v>
      </c>
      <c r="I98" s="112" t="n">
        <f aca="false">10*H98</f>
        <v>25.6217095498147</v>
      </c>
      <c r="J98" s="103" t="n">
        <f aca="false">ABS(ABS(F98-G98)-180)</f>
        <v>112.933042727738</v>
      </c>
      <c r="K98" s="6" t="str">
        <f aca="false">IF(ABS(J98)/11.31&lt;1,J98/11.31,"")</f>
        <v/>
      </c>
      <c r="L98" s="6" t="str">
        <f aca="false">IF(ABS(H98)/1.067&lt;1,H98,"")</f>
        <v/>
      </c>
      <c r="M98" s="107" t="str">
        <f aca="false">IF(OR(K98="",L98=""),"",ABS(K98)+ABS(L98))</f>
        <v/>
      </c>
    </row>
    <row r="99" customFormat="false" ht="17.75" hidden="false" customHeight="true" outlineLevel="0" collapsed="false">
      <c r="C99" s="2" t="n">
        <f aca="false">sol_ecl!$C$99</f>
        <v>8</v>
      </c>
      <c r="D99" s="2" t="n">
        <f aca="false">sol_ecl!$D$99</f>
        <v>4</v>
      </c>
      <c r="E99" s="102" t="n">
        <f aca="false">sol_ecl!$E$99</f>
        <v>98</v>
      </c>
      <c r="F99" s="6" t="n">
        <f aca="false">calc!$AN$99</f>
        <v>16.2436277755387</v>
      </c>
      <c r="G99" s="16" t="n">
        <f aca="false">sol_ecl!$H$99</f>
        <v>94.1597555804242</v>
      </c>
      <c r="H99" s="6" t="n">
        <f aca="false">calc!$Z$99</f>
        <v>3.44001408879926</v>
      </c>
      <c r="I99" s="112" t="n">
        <f aca="false">10*H99</f>
        <v>34.4001408879926</v>
      </c>
      <c r="J99" s="103" t="n">
        <f aca="false">ABS(ABS(F99-G99)-180)</f>
        <v>102.083872195115</v>
      </c>
      <c r="K99" s="6" t="str">
        <f aca="false">IF(ABS(J99)/11.31&lt;1,J99/11.31,"")</f>
        <v/>
      </c>
      <c r="L99" s="6" t="str">
        <f aca="false">IF(ABS(H99)/1.067&lt;1,H99,"")</f>
        <v/>
      </c>
      <c r="M99" s="107" t="str">
        <f aca="false">IF(OR(K99="",L99=""),"",ABS(K99)+ABS(L99))</f>
        <v/>
      </c>
    </row>
    <row r="100" customFormat="false" ht="17.75" hidden="false" customHeight="true" outlineLevel="0" collapsed="false">
      <c r="C100" s="2" t="n">
        <f aca="false">sol_ecl!$C$100</f>
        <v>9</v>
      </c>
      <c r="D100" s="2" t="n">
        <f aca="false">sol_ecl!$D$100</f>
        <v>4</v>
      </c>
      <c r="E100" s="102" t="n">
        <f aca="false">sol_ecl!$E$100</f>
        <v>99</v>
      </c>
      <c r="F100" s="6" t="n">
        <f aca="false">calc!$AN$100</f>
        <v>17.2292751393397</v>
      </c>
      <c r="G100" s="16" t="n">
        <f aca="false">sol_ecl!$H$100</f>
        <v>106.021519454029</v>
      </c>
      <c r="H100" s="6" t="n">
        <f aca="false">calc!$Z$100</f>
        <v>4.17203543658165</v>
      </c>
      <c r="I100" s="112" t="n">
        <f aca="false">10*H100</f>
        <v>41.7203543658166</v>
      </c>
      <c r="J100" s="103" t="n">
        <f aca="false">ABS(ABS(F100-G100)-180)</f>
        <v>91.2077556853107</v>
      </c>
      <c r="K100" s="6" t="str">
        <f aca="false">IF(ABS(J100)/11.31&lt;1,J100/11.31,"")</f>
        <v/>
      </c>
      <c r="L100" s="6" t="str">
        <f aca="false">IF(ABS(H100)/1.067&lt;1,H100,"")</f>
        <v/>
      </c>
      <c r="M100" s="107" t="str">
        <f aca="false">IF(OR(K100="",L100=""),"",ABS(K100)+ABS(L100))</f>
        <v/>
      </c>
    </row>
    <row r="101" customFormat="false" ht="17.75" hidden="false" customHeight="true" outlineLevel="0" collapsed="false">
      <c r="C101" s="2" t="n">
        <f aca="false">sol_ecl!$C$101</f>
        <v>10</v>
      </c>
      <c r="D101" s="2" t="n">
        <f aca="false">sol_ecl!$D$101</f>
        <v>4</v>
      </c>
      <c r="E101" s="102" t="n">
        <f aca="false">sol_ecl!$E$101</f>
        <v>100</v>
      </c>
      <c r="F101" s="6" t="n">
        <f aca="false">calc!$AN$101</f>
        <v>18.2149225031408</v>
      </c>
      <c r="G101" s="16" t="n">
        <f aca="false">sol_ecl!$H$101</f>
        <v>117.989106130608</v>
      </c>
      <c r="H101" s="6" t="n">
        <f aca="false">calc!$Z$101</f>
        <v>4.72933179969381</v>
      </c>
      <c r="I101" s="112" t="n">
        <f aca="false">10*H101</f>
        <v>47.293317996938</v>
      </c>
      <c r="J101" s="103" t="n">
        <f aca="false">ABS(ABS(F101-G101)-180)</f>
        <v>80.2258163725326</v>
      </c>
      <c r="K101" s="6" t="str">
        <f aca="false">IF(ABS(J101)/11.31&lt;1,J101/11.31,"")</f>
        <v/>
      </c>
      <c r="L101" s="6" t="str">
        <f aca="false">IF(ABS(H101)/1.067&lt;1,H101,"")</f>
        <v/>
      </c>
      <c r="M101" s="107" t="str">
        <f aca="false">IF(OR(K101="",L101=""),"",ABS(K101)+ABS(L101))</f>
        <v/>
      </c>
    </row>
    <row r="102" customFormat="false" ht="17.75" hidden="false" customHeight="true" outlineLevel="0" collapsed="false">
      <c r="C102" s="2" t="n">
        <f aca="false">sol_ecl!$C$102</f>
        <v>11</v>
      </c>
      <c r="D102" s="2" t="n">
        <f aca="false">sol_ecl!$D$102</f>
        <v>4</v>
      </c>
      <c r="E102" s="102" t="n">
        <f aca="false">sol_ecl!$E$102</f>
        <v>101</v>
      </c>
      <c r="F102" s="6" t="n">
        <f aca="false">calc!$AN$102</f>
        <v>19.20056986694</v>
      </c>
      <c r="G102" s="16" t="n">
        <f aca="false">sol_ecl!$H$102</f>
        <v>130.139768960403</v>
      </c>
      <c r="H102" s="6" t="n">
        <f aca="false">calc!$Z$102</f>
        <v>5.08490923494663</v>
      </c>
      <c r="I102" s="112" t="n">
        <f aca="false">10*H102</f>
        <v>50.8490923494663</v>
      </c>
      <c r="J102" s="103" t="n">
        <f aca="false">ABS(ABS(F102-G102)-180)</f>
        <v>69.0608009065367</v>
      </c>
      <c r="K102" s="6" t="str">
        <f aca="false">IF(ABS(J102)/11.31&lt;1,J102/11.31,"")</f>
        <v/>
      </c>
      <c r="L102" s="6" t="str">
        <f aca="false">IF(ABS(H102)/1.067&lt;1,H102,"")</f>
        <v/>
      </c>
      <c r="M102" s="107" t="str">
        <f aca="false">IF(OR(K102="",L102=""),"",ABS(K102)+ABS(L102))</f>
        <v/>
      </c>
    </row>
    <row r="103" customFormat="false" ht="17.75" hidden="false" customHeight="true" outlineLevel="0" collapsed="false">
      <c r="C103" s="2" t="n">
        <f aca="false">sol_ecl!$C$103</f>
        <v>12</v>
      </c>
      <c r="D103" s="2" t="n">
        <f aca="false">sol_ecl!$D$103</f>
        <v>4</v>
      </c>
      <c r="E103" s="102" t="n">
        <f aca="false">sol_ecl!$E$103</f>
        <v>102</v>
      </c>
      <c r="F103" s="6" t="n">
        <f aca="false">calc!$AN$103</f>
        <v>20.1862172307428</v>
      </c>
      <c r="G103" s="16" t="n">
        <f aca="false">sol_ecl!$H$103</f>
        <v>142.545549061014</v>
      </c>
      <c r="H103" s="6" t="n">
        <f aca="false">calc!$Z$103</f>
        <v>5.21360576761545</v>
      </c>
      <c r="I103" s="112" t="n">
        <f aca="false">10*H103</f>
        <v>52.1360576761545</v>
      </c>
      <c r="J103" s="103" t="n">
        <f aca="false">ABS(ABS(F103-G103)-180)</f>
        <v>57.6406681697289</v>
      </c>
      <c r="K103" s="6" t="str">
        <f aca="false">IF(ABS(J103)/11.31&lt;1,J103/11.31,"")</f>
        <v/>
      </c>
      <c r="L103" s="6" t="str">
        <f aca="false">IF(ABS(H103)/1.067&lt;1,H103,"")</f>
        <v/>
      </c>
      <c r="M103" s="107" t="str">
        <f aca="false">IF(OR(K103="",L103=""),"",ABS(K103)+ABS(L103))</f>
        <v/>
      </c>
    </row>
    <row r="104" customFormat="false" ht="17.75" hidden="false" customHeight="true" outlineLevel="0" collapsed="false">
      <c r="C104" s="2" t="n">
        <f aca="false">sol_ecl!$C$104</f>
        <v>13</v>
      </c>
      <c r="D104" s="2" t="n">
        <f aca="false">sol_ecl!$D$104</f>
        <v>4</v>
      </c>
      <c r="E104" s="102" t="n">
        <f aca="false">sol_ecl!$E$104</f>
        <v>103</v>
      </c>
      <c r="F104" s="6" t="n">
        <f aca="false">calc!$AN$104</f>
        <v>21.1718645945457</v>
      </c>
      <c r="G104" s="16" t="n">
        <f aca="false">sol_ecl!$H$104</f>
        <v>155.267557917593</v>
      </c>
      <c r="H104" s="6" t="n">
        <f aca="false">calc!$Z$104</f>
        <v>5.09346702766524</v>
      </c>
      <c r="I104" s="112" t="n">
        <f aca="false">10*H104</f>
        <v>50.9346702766524</v>
      </c>
      <c r="J104" s="103" t="n">
        <f aca="false">ABS(ABS(F104-G104)-180)</f>
        <v>45.9043066769528</v>
      </c>
      <c r="K104" s="6" t="str">
        <f aca="false">IF(ABS(J104)/11.31&lt;1,J104/11.31,"")</f>
        <v/>
      </c>
      <c r="L104" s="6" t="str">
        <f aca="false">IF(ABS(H104)/1.067&lt;1,H104,"")</f>
        <v/>
      </c>
      <c r="M104" s="107" t="str">
        <f aca="false">IF(OR(K104="",L104=""),"",ABS(K104)+ABS(L104))</f>
        <v/>
      </c>
    </row>
    <row r="105" customFormat="false" ht="17.75" hidden="false" customHeight="true" outlineLevel="0" collapsed="false">
      <c r="C105" s="2" t="n">
        <f aca="false">sol_ecl!$C$105</f>
        <v>14</v>
      </c>
      <c r="D105" s="2" t="n">
        <f aca="false">sol_ecl!$D$105</f>
        <v>4</v>
      </c>
      <c r="E105" s="102" t="n">
        <f aca="false">sol_ecl!$E$105</f>
        <v>104</v>
      </c>
      <c r="F105" s="6" t="n">
        <f aca="false">calc!$AN$105</f>
        <v>22.1575119583486</v>
      </c>
      <c r="G105" s="16" t="n">
        <f aca="false">sol_ecl!$H$105</f>
        <v>168.348448777633</v>
      </c>
      <c r="H105" s="6" t="n">
        <f aca="false">calc!$Z$105</f>
        <v>4.70916830984732</v>
      </c>
      <c r="I105" s="112" t="n">
        <f aca="false">10*H105</f>
        <v>47.0916830984732</v>
      </c>
      <c r="J105" s="103" t="n">
        <f aca="false">ABS(ABS(F105-G105)-180)</f>
        <v>33.8090631807154</v>
      </c>
      <c r="K105" s="6" t="str">
        <f aca="false">IF(ABS(J105)/11.31&lt;1,J105/11.31,"")</f>
        <v/>
      </c>
      <c r="L105" s="6" t="str">
        <f aca="false">IF(ABS(H105)/1.067&lt;1,H105,"")</f>
        <v/>
      </c>
      <c r="M105" s="107" t="str">
        <f aca="false">IF(OR(K105="",L105=""),"",ABS(K105)+ABS(L105))</f>
        <v/>
      </c>
    </row>
    <row r="106" customFormat="false" ht="17.75" hidden="false" customHeight="true" outlineLevel="0" collapsed="false">
      <c r="C106" s="2" t="n">
        <f aca="false">sol_ecl!$C$106</f>
        <v>15</v>
      </c>
      <c r="D106" s="2" t="n">
        <f aca="false">sol_ecl!$D$106</f>
        <v>4</v>
      </c>
      <c r="E106" s="102" t="n">
        <f aca="false">sol_ecl!$E$106</f>
        <v>105</v>
      </c>
      <c r="F106" s="6" t="n">
        <f aca="false">calc!$AN$106</f>
        <v>23.1431593221514</v>
      </c>
      <c r="G106" s="16" t="n">
        <f aca="false">sol_ecl!$H$106</f>
        <v>181.804696673612</v>
      </c>
      <c r="H106" s="6" t="n">
        <f aca="false">calc!$Z$106</f>
        <v>4.05750423222209</v>
      </c>
      <c r="I106" s="112" t="n">
        <f aca="false">10*H106</f>
        <v>40.5750423222209</v>
      </c>
      <c r="J106" s="103" t="n">
        <f aca="false">ABS(ABS(F106-G106)-180)</f>
        <v>21.3384626485399</v>
      </c>
      <c r="K106" s="6" t="str">
        <f aca="false">IF(ABS(J106)/11.31&lt;1,J106/11.31,"")</f>
        <v/>
      </c>
      <c r="L106" s="6" t="str">
        <f aca="false">IF(ABS(H106)/1.067&lt;1,H106,"")</f>
        <v/>
      </c>
      <c r="M106" s="107" t="str">
        <f aca="false">IF(OR(K106="",L106=""),"",ABS(K106)+ABS(L106))</f>
        <v/>
      </c>
    </row>
    <row r="107" customFormat="false" ht="17.75" hidden="false" customHeight="true" outlineLevel="0" collapsed="false">
      <c r="C107" s="2" t="n">
        <f aca="false">sol_ecl!$C$107</f>
        <v>16</v>
      </c>
      <c r="D107" s="2" t="n">
        <f aca="false">sol_ecl!$D$107</f>
        <v>4</v>
      </c>
      <c r="E107" s="102" t="n">
        <f aca="false">sol_ecl!$E$107</f>
        <v>106</v>
      </c>
      <c r="F107" s="6" t="n">
        <f aca="false">calc!$AN$107</f>
        <v>24.1288066859543</v>
      </c>
      <c r="G107" s="16" t="n">
        <f aca="false">sol_ecl!$H$107</f>
        <v>195.621105335002</v>
      </c>
      <c r="H107" s="6" t="n">
        <f aca="false">calc!$Z$107</f>
        <v>3.15386681327253</v>
      </c>
      <c r="I107" s="112" t="n">
        <f aca="false">10*H107</f>
        <v>31.5386681327253</v>
      </c>
      <c r="J107" s="103" t="n">
        <f aca="false">ABS(ABS(F107-G107)-180)</f>
        <v>8.50770135095178</v>
      </c>
      <c r="K107" s="6" t="n">
        <f aca="false">IF(ABS(J107)/11.31&lt;1,J107/11.31,"")</f>
        <v>0.752228236158424</v>
      </c>
      <c r="L107" s="6" t="str">
        <f aca="false">IF(ABS(H107)/1.067&lt;1,H107,"")</f>
        <v/>
      </c>
      <c r="M107" s="107" t="str">
        <f aca="false">IF(OR(K107="",L107=""),"",ABS(K107)+ABS(L107))</f>
        <v/>
      </c>
    </row>
    <row r="108" customFormat="false" ht="17.75" hidden="false" customHeight="true" outlineLevel="0" collapsed="false">
      <c r="C108" s="2" t="n">
        <f aca="false">sol_ecl!$C$108</f>
        <v>17</v>
      </c>
      <c r="D108" s="2" t="n">
        <f aca="false">sol_ecl!$D$108</f>
        <v>4</v>
      </c>
      <c r="E108" s="102" t="n">
        <f aca="false">sol_ecl!$E$108</f>
        <v>107</v>
      </c>
      <c r="F108" s="6" t="n">
        <f aca="false">calc!$AN$108</f>
        <v>25.1144540497608</v>
      </c>
      <c r="G108" s="16" t="n">
        <f aca="false">sol_ecl!$H$108</f>
        <v>209.749838457252</v>
      </c>
      <c r="H108" s="6" t="n">
        <f aca="false">calc!$Z$108</f>
        <v>2.03744222877152</v>
      </c>
      <c r="I108" s="112" t="n">
        <f aca="false">10*H108</f>
        <v>20.3744222877152</v>
      </c>
      <c r="J108" s="103" t="n">
        <f aca="false">ABS(ABS(F108-G108)-180)</f>
        <v>4.63538440749139</v>
      </c>
      <c r="K108" s="6" t="n">
        <f aca="false">IF(ABS(J108)/11.31&lt;1,J108/11.31,"")</f>
        <v>0.409848311891369</v>
      </c>
      <c r="L108" s="6" t="str">
        <f aca="false">IF(ABS(H108)/1.067&lt;1,H108,"")</f>
        <v/>
      </c>
      <c r="M108" s="107" t="str">
        <f aca="false">IF(OR(K108="",L108=""),"",ABS(K108)+ABS(L108))</f>
        <v/>
      </c>
    </row>
    <row r="109" customFormat="false" ht="17.75" hidden="false" customHeight="true" outlineLevel="0" collapsed="false">
      <c r="C109" s="2" t="n">
        <f aca="false">sol_ecl!$C$109</f>
        <v>18</v>
      </c>
      <c r="D109" s="2" t="n">
        <f aca="false">sol_ecl!$D$109</f>
        <v>4</v>
      </c>
      <c r="E109" s="102" t="n">
        <f aca="false">sol_ecl!$E$109</f>
        <v>108</v>
      </c>
      <c r="F109" s="6" t="n">
        <f aca="false">calc!$AN$109</f>
        <v>26.1001014135654</v>
      </c>
      <c r="G109" s="16" t="n">
        <f aca="false">sol_ecl!$H$109</f>
        <v>224.115186061345</v>
      </c>
      <c r="H109" s="6" t="n">
        <f aca="false">calc!$Z$109</f>
        <v>0.772384657771954</v>
      </c>
      <c r="I109" s="112" t="n">
        <f aca="false">10*H109</f>
        <v>7.72384657771954</v>
      </c>
      <c r="J109" s="103" t="n">
        <f aca="false">ABS(ABS(F109-G109)-180)</f>
        <v>18.0150846477798</v>
      </c>
      <c r="K109" s="6" t="str">
        <f aca="false">IF(ABS(J109)/11.31&lt;1,J109/11.31,"")</f>
        <v/>
      </c>
      <c r="L109" s="6" t="n">
        <f aca="false">IF(ABS(H109)/1.067&lt;1,H109,"")</f>
        <v>0.772384657771954</v>
      </c>
      <c r="M109" s="107" t="str">
        <f aca="false">IF(OR(K109="",L109=""),"",ABS(K109)+ABS(L109))</f>
        <v/>
      </c>
    </row>
    <row r="110" customFormat="false" ht="17.75" hidden="false" customHeight="true" outlineLevel="0" collapsed="false">
      <c r="C110" s="2" t="n">
        <f aca="false">sol_ecl!$C$110</f>
        <v>19</v>
      </c>
      <c r="D110" s="2" t="n">
        <f aca="false">sol_ecl!$D$110</f>
        <v>4</v>
      </c>
      <c r="E110" s="102" t="n">
        <f aca="false">sol_ecl!$E$110</f>
        <v>109</v>
      </c>
      <c r="F110" s="6" t="n">
        <f aca="false">calc!$AN$110</f>
        <v>27.0857487773701</v>
      </c>
      <c r="G110" s="16" t="n">
        <f aca="false">sol_ecl!$H$110</f>
        <v>238.623578387258</v>
      </c>
      <c r="H110" s="6" t="n">
        <f aca="false">calc!$Z$110</f>
        <v>-0.556835312343933</v>
      </c>
      <c r="I110" s="112" t="n">
        <f aca="false">10*H110</f>
        <v>-5.56835312343933</v>
      </c>
      <c r="J110" s="103" t="n">
        <f aca="false">ABS(ABS(F110-G110)-180)</f>
        <v>31.5378296098882</v>
      </c>
      <c r="K110" s="6" t="str">
        <f aca="false">IF(ABS(J110)/11.31&lt;1,J110/11.31,"")</f>
        <v/>
      </c>
      <c r="L110" s="6" t="n">
        <f aca="false">IF(ABS(H110)/1.067&lt;1,H110,"")</f>
        <v>-0.556835312343933</v>
      </c>
      <c r="M110" s="107" t="str">
        <f aca="false">IF(OR(K110="",L110=""),"",ABS(K110)+ABS(L110))</f>
        <v/>
      </c>
    </row>
    <row r="111" customFormat="false" ht="17.75" hidden="false" customHeight="true" outlineLevel="0" collapsed="false">
      <c r="C111" s="2" t="n">
        <f aca="false">sol_ecl!$C$111</f>
        <v>20</v>
      </c>
      <c r="D111" s="2" t="n">
        <f aca="false">sol_ecl!$D$111</f>
        <v>4</v>
      </c>
      <c r="E111" s="102" t="n">
        <f aca="false">sol_ecl!$E$111</f>
        <v>110</v>
      </c>
      <c r="F111" s="6" t="n">
        <f aca="false">calc!$AN$111</f>
        <v>28.0713961411748</v>
      </c>
      <c r="G111" s="16" t="n">
        <f aca="false">sol_ecl!$H$111</f>
        <v>253.176672422939</v>
      </c>
      <c r="H111" s="6" t="n">
        <f aca="false">calc!$Z$111</f>
        <v>-1.85547636217574</v>
      </c>
      <c r="I111" s="112" t="n">
        <f aca="false">10*H111</f>
        <v>-18.5547636217574</v>
      </c>
      <c r="J111" s="103" t="n">
        <f aca="false">ABS(ABS(F111-G111)-180)</f>
        <v>45.1052762817645</v>
      </c>
      <c r="K111" s="6" t="str">
        <f aca="false">IF(ABS(J111)/11.31&lt;1,J111/11.31,"")</f>
        <v/>
      </c>
      <c r="L111" s="6" t="str">
        <f aca="false">IF(ABS(H111)/1.067&lt;1,H111,"")</f>
        <v/>
      </c>
      <c r="M111" s="107" t="str">
        <f aca="false">IF(OR(K111="",L111=""),"",ABS(K111)+ABS(L111))</f>
        <v/>
      </c>
    </row>
    <row r="112" customFormat="false" ht="17.75" hidden="false" customHeight="true" outlineLevel="0" collapsed="false">
      <c r="C112" s="2" t="n">
        <f aca="false">sol_ecl!$C$112</f>
        <v>21</v>
      </c>
      <c r="D112" s="2" t="n">
        <f aca="false">sol_ecl!$D$112</f>
        <v>4</v>
      </c>
      <c r="E112" s="102" t="n">
        <f aca="false">sol_ecl!$E$112</f>
        <v>111</v>
      </c>
      <c r="F112" s="6" t="n">
        <f aca="false">calc!$AN$112</f>
        <v>29.0570435049813</v>
      </c>
      <c r="G112" s="16" t="n">
        <f aca="false">sol_ecl!$H$112</f>
        <v>267.684304751667</v>
      </c>
      <c r="H112" s="6" t="n">
        <f aca="false">calc!$Z$112</f>
        <v>-3.03116336050532</v>
      </c>
      <c r="I112" s="112" t="n">
        <f aca="false">10*H112</f>
        <v>-30.3116336050532</v>
      </c>
      <c r="J112" s="103" t="n">
        <f aca="false">ABS(ABS(F112-G112)-180)</f>
        <v>58.6272612466854</v>
      </c>
      <c r="K112" s="6" t="str">
        <f aca="false">IF(ABS(J112)/11.31&lt;1,J112/11.31,"")</f>
        <v/>
      </c>
      <c r="L112" s="6" t="str">
        <f aca="false">IF(ABS(H112)/1.067&lt;1,H112,"")</f>
        <v/>
      </c>
      <c r="M112" s="107" t="str">
        <f aca="false">IF(OR(K112="",L112=""),"",ABS(K112)+ABS(L112))</f>
        <v/>
      </c>
    </row>
    <row r="113" customFormat="false" ht="17.75" hidden="false" customHeight="true" outlineLevel="0" collapsed="false">
      <c r="C113" s="2" t="n">
        <f aca="false">sol_ecl!$C$113</f>
        <v>22</v>
      </c>
      <c r="D113" s="2" t="n">
        <f aca="false">sol_ecl!$D$113</f>
        <v>4</v>
      </c>
      <c r="E113" s="102" t="n">
        <f aca="false">sol_ecl!$E$113</f>
        <v>112</v>
      </c>
      <c r="F113" s="6" t="n">
        <f aca="false">calc!$AN$113</f>
        <v>30.0426908687859</v>
      </c>
      <c r="G113" s="16" t="n">
        <f aca="false">sol_ecl!$H$113</f>
        <v>282.074137654908</v>
      </c>
      <c r="H113" s="6" t="n">
        <f aca="false">calc!$Z$113</f>
        <v>-4.00528767180807</v>
      </c>
      <c r="I113" s="112" t="n">
        <f aca="false">10*H113</f>
        <v>-40.0528767180807</v>
      </c>
      <c r="J113" s="103" t="n">
        <f aca="false">ABS(ABS(F113-G113)-180)</f>
        <v>72.0314467861221</v>
      </c>
      <c r="K113" s="6" t="str">
        <f aca="false">IF(ABS(J113)/11.31&lt;1,J113/11.31,"")</f>
        <v/>
      </c>
      <c r="L113" s="6" t="str">
        <f aca="false">IF(ABS(H113)/1.067&lt;1,H113,"")</f>
        <v/>
      </c>
      <c r="M113" s="107" t="str">
        <f aca="false">IF(OR(K113="",L113=""),"",ABS(K113)+ABS(L113))</f>
        <v/>
      </c>
    </row>
    <row r="114" customFormat="false" ht="17.75" hidden="false" customHeight="true" outlineLevel="0" collapsed="false">
      <c r="C114" s="2" t="n">
        <f aca="false">sol_ecl!$C$114</f>
        <v>23</v>
      </c>
      <c r="D114" s="2" t="n">
        <f aca="false">sol_ecl!$D$114</f>
        <v>4</v>
      </c>
      <c r="E114" s="102" t="n">
        <f aca="false">sol_ecl!$E$114</f>
        <v>113</v>
      </c>
      <c r="F114" s="6" t="n">
        <f aca="false">calc!$AN$114</f>
        <v>31.0283382325943</v>
      </c>
      <c r="G114" s="16" t="n">
        <f aca="false">sol_ecl!$H$114</f>
        <v>296.295929581152</v>
      </c>
      <c r="H114" s="6" t="n">
        <f aca="false">calc!$Z$114</f>
        <v>-4.7202871215959</v>
      </c>
      <c r="I114" s="112" t="n">
        <f aca="false">10*H114</f>
        <v>-47.202871215959</v>
      </c>
      <c r="J114" s="103" t="n">
        <f aca="false">ABS(ABS(F114-G114)-180)</f>
        <v>85.2675913485574</v>
      </c>
      <c r="K114" s="6" t="str">
        <f aca="false">IF(ABS(J114)/11.31&lt;1,J114/11.31,"")</f>
        <v/>
      </c>
      <c r="L114" s="6" t="str">
        <f aca="false">IF(ABS(H114)/1.067&lt;1,H114,"")</f>
        <v/>
      </c>
      <c r="M114" s="107" t="str">
        <f aca="false">IF(OR(K114="",L114=""),"",ABS(K114)+ABS(L114))</f>
        <v/>
      </c>
    </row>
    <row r="115" customFormat="false" ht="17.75" hidden="false" customHeight="true" outlineLevel="0" collapsed="false">
      <c r="C115" s="2" t="n">
        <f aca="false">sol_ecl!$C$115</f>
        <v>24</v>
      </c>
      <c r="D115" s="2" t="n">
        <f aca="false">sol_ecl!$D$115</f>
        <v>4</v>
      </c>
      <c r="E115" s="102" t="n">
        <f aca="false">sol_ecl!$E$115</f>
        <v>114</v>
      </c>
      <c r="F115" s="6" t="n">
        <f aca="false">calc!$AN$115</f>
        <v>32.0139855964007</v>
      </c>
      <c r="G115" s="16" t="n">
        <f aca="false">sol_ecl!$H$115</f>
        <v>310.320134092572</v>
      </c>
      <c r="H115" s="6" t="n">
        <f aca="false">calc!$Z$115</f>
        <v>-5.14208310654591</v>
      </c>
      <c r="I115" s="112" t="n">
        <f aca="false">10*H115</f>
        <v>-51.4208310654591</v>
      </c>
      <c r="J115" s="103" t="n">
        <f aca="false">ABS(ABS(F115-G115)-180)</f>
        <v>98.3061484961709</v>
      </c>
      <c r="K115" s="6" t="str">
        <f aca="false">IF(ABS(J115)/11.31&lt;1,J115/11.31,"")</f>
        <v/>
      </c>
      <c r="L115" s="6" t="str">
        <f aca="false">IF(ABS(H115)/1.067&lt;1,H115,"")</f>
        <v/>
      </c>
      <c r="M115" s="107" t="str">
        <f aca="false">IF(OR(K115="",L115=""),"",ABS(K115)+ABS(L115))</f>
        <v/>
      </c>
    </row>
    <row r="116" customFormat="false" ht="17.75" hidden="false" customHeight="true" outlineLevel="0" collapsed="false">
      <c r="C116" s="2" t="n">
        <f aca="false">sol_ecl!$C$116</f>
        <v>25</v>
      </c>
      <c r="D116" s="2" t="n">
        <f aca="false">sol_ecl!$D$116</f>
        <v>4</v>
      </c>
      <c r="E116" s="102" t="n">
        <f aca="false">sol_ecl!$E$116</f>
        <v>115</v>
      </c>
      <c r="F116" s="6" t="n">
        <f aca="false">calc!$AN$116</f>
        <v>32.9996329602109</v>
      </c>
      <c r="G116" s="16" t="n">
        <f aca="false">sol_ecl!$H$116</f>
        <v>324.132320171007</v>
      </c>
      <c r="H116" s="6" t="n">
        <f aca="false">calc!$Z$116</f>
        <v>-5.25888351964038</v>
      </c>
      <c r="I116" s="112" t="n">
        <f aca="false">10*H116</f>
        <v>-52.5888351964038</v>
      </c>
      <c r="J116" s="103" t="n">
        <f aca="false">ABS(ABS(F116-G116)-180)</f>
        <v>111.132687210796</v>
      </c>
      <c r="K116" s="6" t="str">
        <f aca="false">IF(ABS(J116)/11.31&lt;1,J116/11.31,"")</f>
        <v/>
      </c>
      <c r="L116" s="6" t="str">
        <f aca="false">IF(ABS(H116)/1.067&lt;1,H116,"")</f>
        <v/>
      </c>
      <c r="M116" s="107" t="str">
        <f aca="false">IF(OR(K116="",L116=""),"",ABS(K116)+ABS(L116))</f>
        <v/>
      </c>
    </row>
    <row r="117" customFormat="false" ht="17.75" hidden="false" customHeight="true" outlineLevel="0" collapsed="false">
      <c r="C117" s="2" t="n">
        <f aca="false">sol_ecl!$C$117</f>
        <v>26</v>
      </c>
      <c r="D117" s="2" t="n">
        <f aca="false">sol_ecl!$D$117</f>
        <v>4</v>
      </c>
      <c r="E117" s="102" t="n">
        <f aca="false">sol_ecl!$E$117</f>
        <v>116</v>
      </c>
      <c r="F117" s="6" t="n">
        <f aca="false">calc!$AN$117</f>
        <v>33.9852803240174</v>
      </c>
      <c r="G117" s="16" t="n">
        <f aca="false">sol_ecl!$H$117</f>
        <v>337.726064092097</v>
      </c>
      <c r="H117" s="6" t="n">
        <f aca="false">calc!$Z$117</f>
        <v>-5.07826692813168</v>
      </c>
      <c r="I117" s="112" t="n">
        <f aca="false">10*H117</f>
        <v>-50.7826692813168</v>
      </c>
      <c r="J117" s="103" t="n">
        <f aca="false">ABS(ABS(F117-G117)-180)</f>
        <v>123.74078376808</v>
      </c>
      <c r="K117" s="6" t="str">
        <f aca="false">IF(ABS(J117)/11.31&lt;1,J117/11.31,"")</f>
        <v/>
      </c>
      <c r="L117" s="6" t="str">
        <f aca="false">IF(ABS(H117)/1.067&lt;1,H117,"")</f>
        <v/>
      </c>
      <c r="M117" s="107" t="str">
        <f aca="false">IF(OR(K117="",L117=""),"",ABS(K117)+ABS(L117))</f>
        <v/>
      </c>
    </row>
    <row r="118" customFormat="false" ht="17.75" hidden="false" customHeight="true" outlineLevel="0" collapsed="false">
      <c r="C118" s="2" t="n">
        <f aca="false">sol_ecl!$C$118</f>
        <v>27</v>
      </c>
      <c r="D118" s="2" t="n">
        <f aca="false">sol_ecl!$D$118</f>
        <v>4</v>
      </c>
      <c r="E118" s="102" t="n">
        <f aca="false">sol_ecl!$E$118</f>
        <v>117</v>
      </c>
      <c r="F118" s="6" t="n">
        <f aca="false">calc!$AN$118</f>
        <v>34.9709276878275</v>
      </c>
      <c r="G118" s="16" t="n">
        <f aca="false">sol_ecl!$H$118</f>
        <v>351.09709982939</v>
      </c>
      <c r="H118" s="6" t="n">
        <f aca="false">calc!$Z$118</f>
        <v>-4.62396460737025</v>
      </c>
      <c r="I118" s="112" t="n">
        <f aca="false">10*H118</f>
        <v>-46.2396460737025</v>
      </c>
      <c r="J118" s="103" t="n">
        <f aca="false">ABS(ABS(F118-G118)-180)</f>
        <v>136.126172141563</v>
      </c>
      <c r="K118" s="6" t="str">
        <f aca="false">IF(ABS(J118)/11.31&lt;1,J118/11.31,"")</f>
        <v/>
      </c>
      <c r="L118" s="6" t="str">
        <f aca="false">IF(ABS(H118)/1.067&lt;1,H118,"")</f>
        <v/>
      </c>
      <c r="M118" s="107" t="str">
        <f aca="false">IF(OR(K118="",L118=""),"",ABS(K118)+ABS(L118))</f>
        <v/>
      </c>
    </row>
    <row r="119" customFormat="false" ht="17.75" hidden="false" customHeight="true" outlineLevel="0" collapsed="false">
      <c r="C119" s="2" t="n">
        <f aca="false">sol_ecl!$C$119</f>
        <v>28</v>
      </c>
      <c r="D119" s="2" t="n">
        <f aca="false">sol_ecl!$D$119</f>
        <v>4</v>
      </c>
      <c r="E119" s="102" t="n">
        <f aca="false">sol_ecl!$E$119</f>
        <v>118</v>
      </c>
      <c r="F119" s="6" t="n">
        <f aca="false">calc!$AN$119</f>
        <v>35.9565750516358</v>
      </c>
      <c r="G119" s="16" t="n">
        <f aca="false">sol_ecl!$H$119</f>
        <v>4.24064604967548</v>
      </c>
      <c r="H119" s="6" t="n">
        <f aca="false">calc!$Z$119</f>
        <v>-3.9327825182659</v>
      </c>
      <c r="I119" s="112" t="n">
        <f aca="false">10*H119</f>
        <v>-39.327825182659</v>
      </c>
      <c r="J119" s="103" t="n">
        <f aca="false">ABS(ABS(F119-G119)-180)</f>
        <v>148.28407099804</v>
      </c>
      <c r="K119" s="6" t="str">
        <f aca="false">IF(ABS(J119)/11.31&lt;1,J119/11.31,"")</f>
        <v/>
      </c>
      <c r="L119" s="6" t="str">
        <f aca="false">IF(ABS(H119)/1.067&lt;1,H119,"")</f>
        <v/>
      </c>
      <c r="M119" s="107" t="str">
        <f aca="false">IF(OR(K119="",L119=""),"",ABS(K119)+ABS(L119))</f>
        <v/>
      </c>
    </row>
    <row r="120" customFormat="false" ht="17.75" hidden="false" customHeight="true" outlineLevel="0" collapsed="false">
      <c r="C120" s="2" t="n">
        <f aca="false">sol_ecl!$C$120</f>
        <v>29</v>
      </c>
      <c r="D120" s="2" t="n">
        <f aca="false">sol_ecl!$D$120</f>
        <v>4</v>
      </c>
      <c r="E120" s="102" t="n">
        <f aca="false">sol_ecl!$E$120</f>
        <v>119</v>
      </c>
      <c r="F120" s="6" t="n">
        <f aca="false">calc!$AN$120</f>
        <v>36.9422224154478</v>
      </c>
      <c r="G120" s="16" t="n">
        <f aca="false">sol_ecl!$H$120</f>
        <v>17.1523540765097</v>
      </c>
      <c r="H120" s="6" t="n">
        <f aca="false">calc!$Z$120</f>
        <v>-3.05142645936851</v>
      </c>
      <c r="I120" s="112" t="n">
        <f aca="false">10*H120</f>
        <v>-30.5142645936851</v>
      </c>
      <c r="J120" s="103" t="n">
        <f aca="false">ABS(ABS(F120-G120)-180)</f>
        <v>160.210131661062</v>
      </c>
      <c r="K120" s="6" t="str">
        <f aca="false">IF(ABS(J120)/11.31&lt;1,J120/11.31,"")</f>
        <v/>
      </c>
      <c r="L120" s="6" t="str">
        <f aca="false">IF(ABS(H120)/1.067&lt;1,H120,"")</f>
        <v/>
      </c>
      <c r="M120" s="107" t="str">
        <f aca="false">IF(OR(K120="",L120=""),"",ABS(K120)+ABS(L120))</f>
        <v/>
      </c>
    </row>
    <row r="121" customFormat="false" ht="17.75" hidden="false" customHeight="true" outlineLevel="0" collapsed="false">
      <c r="C121" s="2" t="n">
        <f aca="false">sol_ecl!$C$121</f>
        <v>30</v>
      </c>
      <c r="D121" s="2" t="n">
        <f aca="false">sol_ecl!$D$121</f>
        <v>4</v>
      </c>
      <c r="E121" s="102" t="n">
        <f aca="false">sol_ecl!$E$121</f>
        <v>120</v>
      </c>
      <c r="F121" s="6" t="n">
        <f aca="false">calc!$AN$121</f>
        <v>37.9278697792579</v>
      </c>
      <c r="G121" s="16" t="n">
        <f aca="false">sol_ecl!$H$121</f>
        <v>29.8318569567601</v>
      </c>
      <c r="H121" s="6" t="n">
        <f aca="false">calc!$Z$121</f>
        <v>-2.03294336775814</v>
      </c>
      <c r="I121" s="112" t="n">
        <f aca="false">10*H121</f>
        <v>-20.3294336775814</v>
      </c>
      <c r="J121" s="103" t="n">
        <f aca="false">ABS(ABS(F121-G121)-180)</f>
        <v>171.903987177502</v>
      </c>
      <c r="K121" s="6" t="str">
        <f aca="false">IF(ABS(J121)/11.31&lt;1,J121/11.31,"")</f>
        <v/>
      </c>
      <c r="L121" s="6" t="str">
        <f aca="false">IF(ABS(H121)/1.067&lt;1,H121,"")</f>
        <v/>
      </c>
      <c r="M121" s="107" t="str">
        <f aca="false">IF(OR(K121="",L121=""),"",ABS(K121)+ABS(L121))</f>
        <v/>
      </c>
    </row>
    <row r="122" customFormat="false" ht="17.75" hidden="false" customHeight="true" outlineLevel="0" collapsed="false">
      <c r="C122" s="2" t="n">
        <f aca="false">sol_ecl!$C$122</f>
        <v>1</v>
      </c>
      <c r="D122" s="2" t="n">
        <f aca="false">sol_ecl!$D$122</f>
        <v>5</v>
      </c>
      <c r="E122" s="102" t="n">
        <f aca="false">sol_ecl!$E$122</f>
        <v>121</v>
      </c>
      <c r="F122" s="6" t="n">
        <f aca="false">calc!$AN$122</f>
        <v>38.913517143068</v>
      </c>
      <c r="G122" s="16" t="n">
        <f aca="false">sol_ecl!$H$122</f>
        <v>42.2870180574613</v>
      </c>
      <c r="H122" s="6" t="n">
        <f aca="false">calc!$Z$122</f>
        <v>-0.932889830262057</v>
      </c>
      <c r="I122" s="112" t="n">
        <f aca="false">10*H122</f>
        <v>-9.32889830262057</v>
      </c>
      <c r="J122" s="103" t="n">
        <f aca="false">ABS(ABS(F122-G122)-180)</f>
        <v>176.626499085607</v>
      </c>
      <c r="K122" s="6" t="str">
        <f aca="false">IF(ABS(J122)/11.31&lt;1,J122/11.31,"")</f>
        <v/>
      </c>
      <c r="L122" s="6" t="n">
        <f aca="false">IF(ABS(H122)/1.067&lt;1,H122,"")</f>
        <v>-0.932889830262057</v>
      </c>
      <c r="M122" s="107" t="str">
        <f aca="false">IF(OR(K122="",L122=""),"",ABS(K122)+ABS(L122))</f>
        <v/>
      </c>
    </row>
    <row r="123" customFormat="false" ht="17.75" hidden="false" customHeight="true" outlineLevel="0" collapsed="false">
      <c r="C123" s="2" t="n">
        <f aca="false">sol_ecl!$C$123</f>
        <v>2</v>
      </c>
      <c r="D123" s="2" t="n">
        <f aca="false">sol_ecl!$D$123</f>
        <v>5</v>
      </c>
      <c r="E123" s="102" t="n">
        <f aca="false">sol_ecl!$E$123</f>
        <v>122</v>
      </c>
      <c r="F123" s="6" t="n">
        <f aca="false">calc!$AN$123</f>
        <v>39.89916450688</v>
      </c>
      <c r="G123" s="16" t="n">
        <f aca="false">sol_ecl!$H$123</f>
        <v>54.5369793858275</v>
      </c>
      <c r="H123" s="6" t="n">
        <f aca="false">calc!$Z$123</f>
        <v>0.194253893054818</v>
      </c>
      <c r="I123" s="112" t="n">
        <f aca="false">10*H123</f>
        <v>1.94253893054818</v>
      </c>
      <c r="J123" s="103" t="n">
        <f aca="false">ABS(ABS(F123-G123)-180)</f>
        <v>165.362185121053</v>
      </c>
      <c r="K123" s="6" t="str">
        <f aca="false">IF(ABS(J123)/11.31&lt;1,J123/11.31,"")</f>
        <v/>
      </c>
      <c r="L123" s="6" t="n">
        <f aca="false">IF(ABS(H123)/1.067&lt;1,H123,"")</f>
        <v>0.194253893054818</v>
      </c>
      <c r="M123" s="107" t="str">
        <f aca="false">IF(OR(K123="",L123=""),"",ABS(K123)+ABS(L123))</f>
        <v/>
      </c>
    </row>
    <row r="124" customFormat="false" ht="17.75" hidden="false" customHeight="true" outlineLevel="0" collapsed="false">
      <c r="C124" s="2" t="n">
        <f aca="false">sol_ecl!$C$124</f>
        <v>3</v>
      </c>
      <c r="D124" s="2" t="n">
        <f aca="false">sol_ecl!$D$124</f>
        <v>5</v>
      </c>
      <c r="E124" s="102" t="n">
        <f aca="false">sol_ecl!$E$124</f>
        <v>123</v>
      </c>
      <c r="F124" s="6" t="n">
        <f aca="false">calc!$AN$124</f>
        <v>40.8848118706919</v>
      </c>
      <c r="G124" s="16" t="n">
        <f aca="false">sol_ecl!$H$124</f>
        <v>66.6129109668901</v>
      </c>
      <c r="H124" s="6" t="n">
        <f aca="false">calc!$Z$124</f>
        <v>1.29782789551834</v>
      </c>
      <c r="I124" s="112" t="n">
        <f aca="false">10*H124</f>
        <v>12.9782789551834</v>
      </c>
      <c r="J124" s="103" t="n">
        <f aca="false">ABS(ABS(F124-G124)-180)</f>
        <v>154.271900903802</v>
      </c>
      <c r="K124" s="6" t="str">
        <f aca="false">IF(ABS(J124)/11.31&lt;1,J124/11.31,"")</f>
        <v/>
      </c>
      <c r="L124" s="6" t="str">
        <f aca="false">IF(ABS(H124)/1.067&lt;1,H124,"")</f>
        <v/>
      </c>
      <c r="M124" s="107" t="str">
        <f aca="false">IF(OR(K124="",L124=""),"",ABS(K124)+ABS(L124))</f>
        <v/>
      </c>
    </row>
    <row r="125" customFormat="false" ht="17.75" hidden="false" customHeight="true" outlineLevel="0" collapsed="false">
      <c r="C125" s="2" t="n">
        <f aca="false">sol_ecl!$C$125</f>
        <v>4</v>
      </c>
      <c r="D125" s="2" t="n">
        <f aca="false">sol_ecl!$D$125</f>
        <v>5</v>
      </c>
      <c r="E125" s="102" t="n">
        <f aca="false">sol_ecl!$E$125</f>
        <v>124</v>
      </c>
      <c r="F125" s="6" t="n">
        <f aca="false">calc!$AN$125</f>
        <v>41.8704592345039</v>
      </c>
      <c r="G125" s="16" t="n">
        <f aca="false">sol_ecl!$H$125</f>
        <v>78.5565440520054</v>
      </c>
      <c r="H125" s="6" t="n">
        <f aca="false">calc!$Z$125</f>
        <v>2.33257242261966</v>
      </c>
      <c r="I125" s="112" t="n">
        <f aca="false">10*H125</f>
        <v>23.3257242261966</v>
      </c>
      <c r="J125" s="103" t="n">
        <f aca="false">ABS(ABS(F125-G125)-180)</f>
        <v>143.313915182499</v>
      </c>
      <c r="K125" s="6" t="str">
        <f aca="false">IF(ABS(J125)/11.31&lt;1,J125/11.31,"")</f>
        <v/>
      </c>
      <c r="L125" s="6" t="str">
        <f aca="false">IF(ABS(H125)/1.067&lt;1,H125,"")</f>
        <v/>
      </c>
      <c r="M125" s="107" t="str">
        <f aca="false">IF(OR(K125="",L125=""),"",ABS(K125)+ABS(L125))</f>
        <v/>
      </c>
    </row>
    <row r="126" customFormat="false" ht="17.75" hidden="false" customHeight="true" outlineLevel="0" collapsed="false">
      <c r="C126" s="2" t="n">
        <f aca="false">sol_ecl!$C$126</f>
        <v>5</v>
      </c>
      <c r="D126" s="2" t="n">
        <f aca="false">sol_ecl!$D$126</f>
        <v>5</v>
      </c>
      <c r="E126" s="102" t="n">
        <f aca="false">sol_ecl!$E$126</f>
        <v>125</v>
      </c>
      <c r="F126" s="6" t="n">
        <f aca="false">calc!$AN$126</f>
        <v>42.8561065983158</v>
      </c>
      <c r="G126" s="16" t="n">
        <f aca="false">sol_ecl!$H$126</f>
        <v>90.4175684566398</v>
      </c>
      <c r="H126" s="6" t="n">
        <f aca="false">calc!$Z$126</f>
        <v>3.25911206785966</v>
      </c>
      <c r="I126" s="112" t="n">
        <f aca="false">10*H126</f>
        <v>32.5911206785966</v>
      </c>
      <c r="J126" s="103" t="n">
        <f aca="false">ABS(ABS(F126-G126)-180)</f>
        <v>132.438538141676</v>
      </c>
      <c r="K126" s="6" t="str">
        <f aca="false">IF(ABS(J126)/11.31&lt;1,J126/11.31,"")</f>
        <v/>
      </c>
      <c r="L126" s="6" t="str">
        <f aca="false">IF(ABS(H126)/1.067&lt;1,H126,"")</f>
        <v/>
      </c>
      <c r="M126" s="107" t="str">
        <f aca="false">IF(OR(K126="",L126=""),"",ABS(K126)+ABS(L126))</f>
        <v/>
      </c>
    </row>
    <row r="127" customFormat="false" ht="17.75" hidden="false" customHeight="true" outlineLevel="0" collapsed="false">
      <c r="C127" s="2" t="n">
        <f aca="false">sol_ecl!$C$127</f>
        <v>6</v>
      </c>
      <c r="D127" s="2" t="n">
        <f aca="false">sol_ecl!$D$127</f>
        <v>5</v>
      </c>
      <c r="E127" s="102" t="n">
        <f aca="false">sol_ecl!$E$127</f>
        <v>126</v>
      </c>
      <c r="F127" s="6" t="n">
        <f aca="false">calc!$AN$127</f>
        <v>43.8417539621278</v>
      </c>
      <c r="G127" s="16" t="n">
        <f aca="false">sol_ecl!$H$127</f>
        <v>102.251326982571</v>
      </c>
      <c r="H127" s="6" t="n">
        <f aca="false">calc!$Z$127</f>
        <v>4.04366086916577</v>
      </c>
      <c r="I127" s="112" t="n">
        <f aca="false">10*H127</f>
        <v>40.4366086916577</v>
      </c>
      <c r="J127" s="103" t="n">
        <f aca="false">ABS(ABS(F127-G127)-180)</f>
        <v>121.590426979556</v>
      </c>
      <c r="K127" s="6" t="str">
        <f aca="false">IF(ABS(J127)/11.31&lt;1,J127/11.31,"")</f>
        <v/>
      </c>
      <c r="L127" s="6" t="str">
        <f aca="false">IF(ABS(H127)/1.067&lt;1,H127,"")</f>
        <v/>
      </c>
      <c r="M127" s="107" t="str">
        <f aca="false">IF(OR(K127="",L127=""),"",ABS(K127)+ABS(L127))</f>
        <v/>
      </c>
    </row>
    <row r="128" customFormat="false" ht="17.75" hidden="false" customHeight="true" outlineLevel="0" collapsed="false">
      <c r="C128" s="2" t="n">
        <f aca="false">sol_ecl!$C$128</f>
        <v>7</v>
      </c>
      <c r="D128" s="2" t="n">
        <f aca="false">sol_ecl!$D$128</f>
        <v>5</v>
      </c>
      <c r="E128" s="102" t="n">
        <f aca="false">sol_ecl!$E$128</f>
        <v>127</v>
      </c>
      <c r="F128" s="6" t="n">
        <f aca="false">calc!$AN$128</f>
        <v>44.8274013259434</v>
      </c>
      <c r="G128" s="16" t="n">
        <f aca="false">sol_ecl!$H$128</f>
        <v>114.117791524884</v>
      </c>
      <c r="H128" s="6" t="n">
        <f aca="false">calc!$Z$128</f>
        <v>4.65728728820167</v>
      </c>
      <c r="I128" s="112" t="n">
        <f aca="false">10*H128</f>
        <v>46.5728728820167</v>
      </c>
      <c r="J128" s="103" t="n">
        <f aca="false">ABS(ABS(F128-G128)-180)</f>
        <v>110.70960980106</v>
      </c>
      <c r="K128" s="6" t="str">
        <f aca="false">IF(ABS(J128)/11.31&lt;1,J128/11.31,"")</f>
        <v/>
      </c>
      <c r="L128" s="6" t="str">
        <f aca="false">IF(ABS(H128)/1.067&lt;1,H128,"")</f>
        <v/>
      </c>
      <c r="M128" s="107" t="str">
        <f aca="false">IF(OR(K128="",L128=""),"",ABS(K128)+ABS(L128))</f>
        <v/>
      </c>
    </row>
    <row r="129" customFormat="false" ht="17.75" hidden="false" customHeight="true" outlineLevel="0" collapsed="false">
      <c r="C129" s="2" t="n">
        <f aca="false">sol_ecl!$C$129</f>
        <v>8</v>
      </c>
      <c r="D129" s="2" t="n">
        <f aca="false">sol_ecl!$D$129</f>
        <v>5</v>
      </c>
      <c r="E129" s="102" t="n">
        <f aca="false">sol_ecl!$E$129</f>
        <v>128</v>
      </c>
      <c r="F129" s="6" t="n">
        <f aca="false">calc!$AN$129</f>
        <v>45.8130486897553</v>
      </c>
      <c r="G129" s="16" t="n">
        <f aca="false">sol_ecl!$H$129</f>
        <v>126.081774081067</v>
      </c>
      <c r="H129" s="6" t="n">
        <f aca="false">calc!$Z$129</f>
        <v>5.07499723661054</v>
      </c>
      <c r="I129" s="112" t="n">
        <f aca="false">10*H129</f>
        <v>50.7499723661054</v>
      </c>
      <c r="J129" s="103" t="n">
        <f aca="false">ABS(ABS(F129-G129)-180)</f>
        <v>99.7312746086881</v>
      </c>
      <c r="K129" s="6" t="str">
        <f aca="false">IF(ABS(J129)/11.31&lt;1,J129/11.31,"")</f>
        <v/>
      </c>
      <c r="L129" s="6" t="str">
        <f aca="false">IF(ABS(H129)/1.067&lt;1,H129,"")</f>
        <v/>
      </c>
      <c r="M129" s="107" t="str">
        <f aca="false">IF(OR(K129="",L129=""),"",ABS(K129)+ABS(L129))</f>
        <v/>
      </c>
    </row>
    <row r="130" customFormat="false" ht="17.75" hidden="false" customHeight="true" outlineLevel="0" collapsed="false">
      <c r="C130" s="2" t="n">
        <f aca="false">sol_ecl!$C$130</f>
        <v>9</v>
      </c>
      <c r="D130" s="2" t="n">
        <f aca="false">sol_ecl!$D$130</f>
        <v>5</v>
      </c>
      <c r="E130" s="102" t="n">
        <f aca="false">sol_ecl!$E$130</f>
        <v>129</v>
      </c>
      <c r="F130" s="6" t="n">
        <f aca="false">calc!$AN$130</f>
        <v>46.7986960535709</v>
      </c>
      <c r="G130" s="16" t="n">
        <f aca="false">sol_ecl!$H$130</f>
        <v>138.213210720189</v>
      </c>
      <c r="H130" s="6" t="n">
        <f aca="false">calc!$Z$130</f>
        <v>5.27490317409464</v>
      </c>
      <c r="I130" s="112" t="n">
        <f aca="false">10*H130</f>
        <v>52.7490317409464</v>
      </c>
      <c r="J130" s="103" t="n">
        <f aca="false">ABS(ABS(F130-G130)-180)</f>
        <v>88.5854853333819</v>
      </c>
      <c r="K130" s="6" t="str">
        <f aca="false">IF(ABS(J130)/11.31&lt;1,J130/11.31,"")</f>
        <v/>
      </c>
      <c r="L130" s="6" t="str">
        <f aca="false">IF(ABS(H130)/1.067&lt;1,H130,"")</f>
        <v/>
      </c>
      <c r="M130" s="107" t="str">
        <f aca="false">IF(OR(K130="",L130=""),"",ABS(K130)+ABS(L130))</f>
        <v/>
      </c>
    </row>
    <row r="131" customFormat="false" ht="17.75" hidden="false" customHeight="true" outlineLevel="0" collapsed="false">
      <c r="C131" s="2" t="n">
        <f aca="false">sol_ecl!$C$131</f>
        <v>10</v>
      </c>
      <c r="D131" s="2" t="n">
        <f aca="false">sol_ecl!$D$131</f>
        <v>5</v>
      </c>
      <c r="E131" s="102" t="n">
        <f aca="false">sol_ecl!$E$131</f>
        <v>130</v>
      </c>
      <c r="F131" s="6" t="n">
        <f aca="false">calc!$AN$131</f>
        <v>47.7843434173847</v>
      </c>
      <c r="G131" s="16" t="n">
        <f aca="false">sol_ecl!$H$131</f>
        <v>150.58572147404</v>
      </c>
      <c r="H131" s="6" t="n">
        <f aca="false">calc!$Z$131</f>
        <v>5.23793857811493</v>
      </c>
      <c r="I131" s="112" t="n">
        <f aca="false">10*H131</f>
        <v>52.3793857811493</v>
      </c>
      <c r="J131" s="103" t="n">
        <f aca="false">ABS(ABS(F131-G131)-180)</f>
        <v>77.1986219433447</v>
      </c>
      <c r="K131" s="6" t="str">
        <f aca="false">IF(ABS(J131)/11.31&lt;1,J131/11.31,"")</f>
        <v/>
      </c>
      <c r="L131" s="6" t="str">
        <f aca="false">IF(ABS(H131)/1.067&lt;1,H131,"")</f>
        <v/>
      </c>
      <c r="M131" s="107" t="str">
        <f aca="false">IF(OR(K131="",L131=""),"",ABS(K131)+ABS(L131))</f>
        <v/>
      </c>
    </row>
    <row r="132" customFormat="false" ht="17.75" hidden="false" customHeight="true" outlineLevel="0" collapsed="false">
      <c r="C132" s="2" t="n">
        <f aca="false">sol_ecl!$C$132</f>
        <v>11</v>
      </c>
      <c r="D132" s="2" t="n">
        <f aca="false">sol_ecl!$D$132</f>
        <v>5</v>
      </c>
      <c r="E132" s="102" t="n">
        <f aca="false">sol_ecl!$E$132</f>
        <v>131</v>
      </c>
      <c r="F132" s="6" t="n">
        <f aca="false">calc!$AN$132</f>
        <v>48.7699907812003</v>
      </c>
      <c r="G132" s="16" t="n">
        <f aca="false">sol_ecl!$H$132</f>
        <v>163.271872841675</v>
      </c>
      <c r="H132" s="6" t="n">
        <f aca="false">calc!$Z$132</f>
        <v>4.94883779185064</v>
      </c>
      <c r="I132" s="112" t="n">
        <f aca="false">10*H132</f>
        <v>49.4883779185064</v>
      </c>
      <c r="J132" s="103" t="n">
        <f aca="false">ABS(ABS(F132-G132)-180)</f>
        <v>65.4981179395252</v>
      </c>
      <c r="K132" s="6" t="str">
        <f aca="false">IF(ABS(J132)/11.31&lt;1,J132/11.31,"")</f>
        <v/>
      </c>
      <c r="L132" s="6" t="str">
        <f aca="false">IF(ABS(H132)/1.067&lt;1,H132,"")</f>
        <v/>
      </c>
      <c r="M132" s="107" t="str">
        <f aca="false">IF(OR(K132="",L132=""),"",ABS(K132)+ABS(L132))</f>
        <v/>
      </c>
    </row>
    <row r="133" customFormat="false" ht="17.75" hidden="false" customHeight="true" outlineLevel="0" collapsed="false">
      <c r="C133" s="2" t="n">
        <f aca="false">sol_ecl!$C$133</f>
        <v>12</v>
      </c>
      <c r="D133" s="2" t="n">
        <f aca="false">sol_ecl!$D$133</f>
        <v>5</v>
      </c>
      <c r="E133" s="102" t="n">
        <f aca="false">sol_ecl!$E$133</f>
        <v>132</v>
      </c>
      <c r="F133" s="6" t="n">
        <f aca="false">calc!$AN$133</f>
        <v>49.755638145014</v>
      </c>
      <c r="G133" s="16" t="n">
        <f aca="false">sol_ecl!$H$133</f>
        <v>176.33466884259</v>
      </c>
      <c r="H133" s="6" t="n">
        <f aca="false">calc!$Z$133</f>
        <v>4.39914565104033</v>
      </c>
      <c r="I133" s="112" t="n">
        <f aca="false">10*H133</f>
        <v>43.9914565104032</v>
      </c>
      <c r="J133" s="103" t="n">
        <f aca="false">ABS(ABS(F133-G133)-180)</f>
        <v>53.4209693024243</v>
      </c>
      <c r="K133" s="6" t="str">
        <f aca="false">IF(ABS(J133)/11.31&lt;1,J133/11.31,"")</f>
        <v/>
      </c>
      <c r="L133" s="6" t="str">
        <f aca="false">IF(ABS(H133)/1.067&lt;1,H133,"")</f>
        <v/>
      </c>
      <c r="M133" s="107" t="str">
        <f aca="false">IF(OR(K133="",L133=""),"",ABS(K133)+ABS(L133))</f>
        <v/>
      </c>
    </row>
    <row r="134" customFormat="false" ht="17.75" hidden="false" customHeight="true" outlineLevel="0" collapsed="false">
      <c r="C134" s="2" t="n">
        <f aca="false">sol_ecl!$C$134</f>
        <v>13</v>
      </c>
      <c r="D134" s="2" t="n">
        <f aca="false">sol_ecl!$D$134</f>
        <v>5</v>
      </c>
      <c r="E134" s="102" t="n">
        <f aca="false">sol_ecl!$E$134</f>
        <v>133</v>
      </c>
      <c r="F134" s="6" t="n">
        <f aca="false">calc!$AN$134</f>
        <v>50.7412855088314</v>
      </c>
      <c r="G134" s="16" t="n">
        <f aca="false">sol_ecl!$H$134</f>
        <v>189.816398223673</v>
      </c>
      <c r="H134" s="6" t="n">
        <f aca="false">calc!$Z$134</f>
        <v>3.59253442688642</v>
      </c>
      <c r="I134" s="112" t="n">
        <f aca="false">10*H134</f>
        <v>35.9253442688642</v>
      </c>
      <c r="J134" s="103" t="n">
        <f aca="false">ABS(ABS(F134-G134)-180)</f>
        <v>40.9248872851588</v>
      </c>
      <c r="K134" s="6" t="str">
        <f aca="false">IF(ABS(J134)/11.31&lt;1,J134/11.31,"")</f>
        <v/>
      </c>
      <c r="L134" s="6" t="str">
        <f aca="false">IF(ABS(H134)/1.067&lt;1,H134,"")</f>
        <v/>
      </c>
      <c r="M134" s="107" t="str">
        <f aca="false">IF(OR(K134="",L134=""),"",ABS(K134)+ABS(L134))</f>
        <v/>
      </c>
    </row>
    <row r="135" customFormat="false" ht="17.75" hidden="false" customHeight="true" outlineLevel="0" collapsed="false">
      <c r="C135" s="2" t="n">
        <f aca="false">sol_ecl!$C$135</f>
        <v>14</v>
      </c>
      <c r="D135" s="2" t="n">
        <f aca="false">sol_ecl!$D$135</f>
        <v>5</v>
      </c>
      <c r="E135" s="102" t="n">
        <f aca="false">sol_ecl!$E$135</f>
        <v>134</v>
      </c>
      <c r="F135" s="6" t="n">
        <f aca="false">calc!$AN$135</f>
        <v>51.726932872647</v>
      </c>
      <c r="G135" s="16" t="n">
        <f aca="false">sol_ecl!$H$135</f>
        <v>203.72744349184</v>
      </c>
      <c r="H135" s="6" t="n">
        <f aca="false">calc!$Z$135</f>
        <v>2.55156808466704</v>
      </c>
      <c r="I135" s="112" t="n">
        <f aca="false">10*H135</f>
        <v>25.5156808466704</v>
      </c>
      <c r="J135" s="103" t="n">
        <f aca="false">ABS(ABS(F135-G135)-180)</f>
        <v>27.9994893808066</v>
      </c>
      <c r="K135" s="6" t="str">
        <f aca="false">IF(ABS(J135)/11.31&lt;1,J135/11.31,"")</f>
        <v/>
      </c>
      <c r="L135" s="6" t="str">
        <f aca="false">IF(ABS(H135)/1.067&lt;1,H135,"")</f>
        <v/>
      </c>
      <c r="M135" s="107" t="str">
        <f aca="false">IF(OR(K135="",L135=""),"",ABS(K135)+ABS(L135))</f>
        <v/>
      </c>
    </row>
    <row r="136" customFormat="false" ht="17.75" hidden="false" customHeight="true" outlineLevel="0" collapsed="false">
      <c r="C136" s="2" t="n">
        <f aca="false">sol_ecl!$C$136</f>
        <v>15</v>
      </c>
      <c r="D136" s="2" t="n">
        <f aca="false">sol_ecl!$D$136</f>
        <v>5</v>
      </c>
      <c r="E136" s="102" t="n">
        <f aca="false">sol_ecl!$E$136</f>
        <v>135</v>
      </c>
      <c r="F136" s="6" t="n">
        <f aca="false">calc!$AN$136</f>
        <v>52.7125802364662</v>
      </c>
      <c r="G136" s="16" t="n">
        <f aca="false">sol_ecl!$H$136</f>
        <v>218.038381255939</v>
      </c>
      <c r="H136" s="6" t="n">
        <f aca="false">calc!$Z$136</f>
        <v>1.32358634001575</v>
      </c>
      <c r="I136" s="112" t="n">
        <f aca="false">10*H136</f>
        <v>13.2358634001575</v>
      </c>
      <c r="J136" s="103" t="n">
        <f aca="false">ABS(ABS(F136-G136)-180)</f>
        <v>14.674198980527</v>
      </c>
      <c r="K136" s="6" t="str">
        <f aca="false">IF(ABS(J136)/11.31&lt;1,J136/11.31,"")</f>
        <v/>
      </c>
      <c r="L136" s="6" t="str">
        <f aca="false">IF(ABS(H136)/1.067&lt;1,H136,"")</f>
        <v/>
      </c>
      <c r="M136" s="107" t="str">
        <f aca="false">IF(OR(K136="",L136=""),"",ABS(K136)+ABS(L136))</f>
        <v/>
      </c>
    </row>
    <row r="137" customFormat="false" ht="17.75" hidden="false" customHeight="true" outlineLevel="0" collapsed="false">
      <c r="C137" s="2" t="n">
        <f aca="false">sol_ecl!$C$137</f>
        <v>16</v>
      </c>
      <c r="D137" s="2" t="n">
        <f aca="false">sol_ecl!$D$137</f>
        <v>5</v>
      </c>
      <c r="E137" s="102" t="n">
        <f aca="false">sol_ecl!$E$137</f>
        <v>136</v>
      </c>
      <c r="F137" s="6" t="n">
        <f aca="false">calc!$AN$137</f>
        <v>53.6982276002836</v>
      </c>
      <c r="G137" s="16" t="n">
        <f aca="false">sol_ecl!$H$137</f>
        <v>232.678297351215</v>
      </c>
      <c r="H137" s="6" t="n">
        <f aca="false">calc!$Z$137</f>
        <v>-0.0175664241665054</v>
      </c>
      <c r="I137" s="112" t="n">
        <f aca="false">10*H137</f>
        <v>-0.175664241665054</v>
      </c>
      <c r="J137" s="103" t="n">
        <f aca="false">ABS(ABS(F137-G137)-180)</f>
        <v>1.01993024906869</v>
      </c>
      <c r="K137" s="6" t="n">
        <f aca="false">IF(ABS(J137)/11.31&lt;1,J137/11.31,"")</f>
        <v>0.090179509201476</v>
      </c>
      <c r="L137" s="6" t="n">
        <f aca="false">IF(ABS(H137)/1.067&lt;1,H137,"")</f>
        <v>-0.0175664241665054</v>
      </c>
      <c r="M137" s="107" t="n">
        <f aca="false">IF(OR(K137="",L137=""),"",ABS(K137)+ABS(L137))</f>
        <v>0.107745933367981</v>
      </c>
    </row>
    <row r="138" customFormat="false" ht="17.75" hidden="false" customHeight="true" outlineLevel="0" collapsed="false">
      <c r="C138" s="2" t="n">
        <f aca="false">sol_ecl!$C$138</f>
        <v>17</v>
      </c>
      <c r="D138" s="2" t="n">
        <f aca="false">sol_ecl!$D$138</f>
        <v>5</v>
      </c>
      <c r="E138" s="102" t="n">
        <f aca="false">sol_ecl!$E$138</f>
        <v>137</v>
      </c>
      <c r="F138" s="6" t="n">
        <f aca="false">calc!$AN$138</f>
        <v>54.6838749641011</v>
      </c>
      <c r="G138" s="16" t="n">
        <f aca="false">sol_ecl!$H$138</f>
        <v>247.540748500392</v>
      </c>
      <c r="H138" s="6" t="n">
        <f aca="false">calc!$Z$138</f>
        <v>-1.37664428731431</v>
      </c>
      <c r="I138" s="112" t="n">
        <f aca="false">10*H138</f>
        <v>-13.7664428731431</v>
      </c>
      <c r="J138" s="103" t="n">
        <f aca="false">ABS(ABS(F138-G138)-180)</f>
        <v>12.8568735362908</v>
      </c>
      <c r="K138" s="6" t="str">
        <f aca="false">IF(ABS(J138)/11.31&lt;1,J138/11.31,"")</f>
        <v/>
      </c>
      <c r="L138" s="6" t="str">
        <f aca="false">IF(ABS(H138)/1.067&lt;1,H138,"")</f>
        <v/>
      </c>
      <c r="M138" s="107" t="str">
        <f aca="false">IF(OR(K138="",L138=""),"",ABS(K138)+ABS(L138))</f>
        <v/>
      </c>
    </row>
    <row r="139" customFormat="false" ht="17.75" hidden="false" customHeight="true" outlineLevel="0" collapsed="false">
      <c r="C139" s="2" t="n">
        <f aca="false">sol_ecl!$C$139</f>
        <v>18</v>
      </c>
      <c r="D139" s="2" t="n">
        <f aca="false">sol_ecl!$D$139</f>
        <v>5</v>
      </c>
      <c r="E139" s="102" t="n">
        <f aca="false">sol_ecl!$E$139</f>
        <v>138</v>
      </c>
      <c r="F139" s="6" t="n">
        <f aca="false">calc!$AN$139</f>
        <v>55.6695223279203</v>
      </c>
      <c r="G139" s="16" t="n">
        <f aca="false">sol_ecl!$H$139</f>
        <v>262.496689060739</v>
      </c>
      <c r="H139" s="6" t="n">
        <f aca="false">calc!$Z$139</f>
        <v>-2.64911955145883</v>
      </c>
      <c r="I139" s="112" t="n">
        <f aca="false">10*H139</f>
        <v>-26.4911955145883</v>
      </c>
      <c r="J139" s="103" t="n">
        <f aca="false">ABS(ABS(F139-G139)-180)</f>
        <v>26.8271667328186</v>
      </c>
      <c r="K139" s="6" t="str">
        <f aca="false">IF(ABS(J139)/11.31&lt;1,J139/11.31,"")</f>
        <v/>
      </c>
      <c r="L139" s="6" t="str">
        <f aca="false">IF(ABS(H139)/1.067&lt;1,H139,"")</f>
        <v/>
      </c>
      <c r="M139" s="107" t="str">
        <f aca="false">IF(OR(K139="",L139=""),"",ABS(K139)+ABS(L139))</f>
        <v/>
      </c>
    </row>
    <row r="140" customFormat="false" ht="17.75" hidden="false" customHeight="true" outlineLevel="0" collapsed="false">
      <c r="C140" s="2" t="n">
        <f aca="false">sol_ecl!$C$140</f>
        <v>19</v>
      </c>
      <c r="D140" s="2" t="n">
        <f aca="false">sol_ecl!$D$140</f>
        <v>5</v>
      </c>
      <c r="E140" s="102" t="n">
        <f aca="false">sol_ecl!$E$140</f>
        <v>139</v>
      </c>
      <c r="F140" s="6" t="n">
        <f aca="false">calc!$AN$140</f>
        <v>56.6551696917395</v>
      </c>
      <c r="G140" s="16" t="n">
        <f aca="false">sol_ecl!$H$140</f>
        <v>277.411664197781</v>
      </c>
      <c r="H140" s="6" t="n">
        <f aca="false">calc!$Z$140</f>
        <v>-3.73717135486962</v>
      </c>
      <c r="I140" s="112" t="n">
        <f aca="false">10*H140</f>
        <v>-37.3717135486962</v>
      </c>
      <c r="J140" s="103" t="n">
        <f aca="false">ABS(ABS(F140-G140)-180)</f>
        <v>40.7564945060413</v>
      </c>
      <c r="K140" s="6" t="str">
        <f aca="false">IF(ABS(J140)/11.31&lt;1,J140/11.31,"")</f>
        <v/>
      </c>
      <c r="L140" s="6" t="str">
        <f aca="false">IF(ABS(H140)/1.067&lt;1,H140,"")</f>
        <v/>
      </c>
      <c r="M140" s="107" t="str">
        <f aca="false">IF(OR(K140="",L140=""),"",ABS(K140)+ABS(L140))</f>
        <v/>
      </c>
    </row>
    <row r="141" customFormat="false" ht="17.75" hidden="false" customHeight="true" outlineLevel="0" collapsed="false">
      <c r="C141" s="2" t="n">
        <f aca="false">sol_ecl!$C$141</f>
        <v>20</v>
      </c>
      <c r="D141" s="2" t="n">
        <f aca="false">sol_ecl!$D$141</f>
        <v>5</v>
      </c>
      <c r="E141" s="102" t="n">
        <f aca="false">sol_ecl!$E$141</f>
        <v>140</v>
      </c>
      <c r="F141" s="6" t="n">
        <f aca="false">calc!$AN$141</f>
        <v>57.6408170555569</v>
      </c>
      <c r="G141" s="16" t="n">
        <f aca="false">sol_ecl!$H$141</f>
        <v>292.163350785447</v>
      </c>
      <c r="H141" s="6" t="n">
        <f aca="false">calc!$Z$141</f>
        <v>-4.564297356929</v>
      </c>
      <c r="I141" s="112" t="n">
        <f aca="false">10*H141</f>
        <v>-45.64297356929</v>
      </c>
      <c r="J141" s="103" t="n">
        <f aca="false">ABS(ABS(F141-G141)-180)</f>
        <v>54.5225337298897</v>
      </c>
      <c r="K141" s="6" t="str">
        <f aca="false">IF(ABS(J141)/11.31&lt;1,J141/11.31,"")</f>
        <v/>
      </c>
      <c r="L141" s="6" t="str">
        <f aca="false">IF(ABS(H141)/1.067&lt;1,H141,"")</f>
        <v/>
      </c>
      <c r="M141" s="107" t="str">
        <f aca="false">IF(OR(K141="",L141=""),"",ABS(K141)+ABS(L141))</f>
        <v/>
      </c>
    </row>
    <row r="142" customFormat="false" ht="17.75" hidden="false" customHeight="true" outlineLevel="0" collapsed="false">
      <c r="C142" s="2" t="n">
        <f aca="false">sol_ecl!$C$142</f>
        <v>21</v>
      </c>
      <c r="D142" s="2" t="n">
        <f aca="false">sol_ecl!$D$142</f>
        <v>5</v>
      </c>
      <c r="E142" s="102" t="n">
        <f aca="false">sol_ecl!$E$142</f>
        <v>141</v>
      </c>
      <c r="F142" s="6" t="n">
        <f aca="false">calc!$AN$142</f>
        <v>58.6264644193761</v>
      </c>
      <c r="G142" s="16" t="n">
        <f aca="false">sol_ecl!$H$142</f>
        <v>306.655523499861</v>
      </c>
      <c r="H142" s="6" t="n">
        <f aca="false">calc!$Z$142</f>
        <v>-5.08395053458265</v>
      </c>
      <c r="I142" s="112" t="n">
        <f aca="false">10*H142</f>
        <v>-50.8395053458265</v>
      </c>
      <c r="J142" s="103" t="n">
        <f aca="false">ABS(ABS(F142-G142)-180)</f>
        <v>68.029059080485</v>
      </c>
      <c r="K142" s="6" t="str">
        <f aca="false">IF(ABS(J142)/11.31&lt;1,J142/11.31,"")</f>
        <v/>
      </c>
      <c r="L142" s="6" t="str">
        <f aca="false">IF(ABS(H142)/1.067&lt;1,H142,"")</f>
        <v/>
      </c>
      <c r="M142" s="107" t="str">
        <f aca="false">IF(OR(K142="",L142=""),"",ABS(K142)+ABS(L142))</f>
        <v/>
      </c>
    </row>
    <row r="143" customFormat="false" ht="17.75" hidden="false" customHeight="true" outlineLevel="0" collapsed="false">
      <c r="C143" s="2" t="n">
        <f aca="false">sol_ecl!$C$143</f>
        <v>22</v>
      </c>
      <c r="D143" s="2" t="n">
        <f aca="false">sol_ecl!$D$143</f>
        <v>5</v>
      </c>
      <c r="E143" s="102" t="n">
        <f aca="false">sol_ecl!$E$143</f>
        <v>142</v>
      </c>
      <c r="F143" s="6" t="n">
        <f aca="false">calc!$AN$143</f>
        <v>59.6121117831972</v>
      </c>
      <c r="G143" s="16" t="n">
        <f aca="false">sol_ecl!$H$143</f>
        <v>320.825715948145</v>
      </c>
      <c r="H143" s="6" t="n">
        <f aca="false">calc!$Z$143</f>
        <v>-5.28057804125969</v>
      </c>
      <c r="I143" s="112" t="n">
        <f aca="false">10*H143</f>
        <v>-52.8057804125969</v>
      </c>
      <c r="J143" s="103" t="n">
        <f aca="false">ABS(ABS(F143-G143)-180)</f>
        <v>81.2136041649474</v>
      </c>
      <c r="K143" s="6" t="str">
        <f aca="false">IF(ABS(J143)/11.31&lt;1,J143/11.31,"")</f>
        <v/>
      </c>
      <c r="L143" s="6" t="str">
        <f aca="false">IF(ABS(H143)/1.067&lt;1,H143,"")</f>
        <v/>
      </c>
      <c r="M143" s="107" t="str">
        <f aca="false">IF(OR(K143="",L143=""),"",ABS(K143)+ABS(L143))</f>
        <v/>
      </c>
    </row>
    <row r="144" customFormat="false" ht="17.75" hidden="false" customHeight="true" outlineLevel="0" collapsed="false">
      <c r="C144" s="2" t="n">
        <f aca="false">sol_ecl!$C$144</f>
        <v>23</v>
      </c>
      <c r="D144" s="2" t="n">
        <f aca="false">sol_ecl!$D$144</f>
        <v>5</v>
      </c>
      <c r="E144" s="102" t="n">
        <f aca="false">sol_ecl!$E$144</f>
        <v>143</v>
      </c>
      <c r="F144" s="6" t="n">
        <f aca="false">calc!$AN$144</f>
        <v>60.59775914702</v>
      </c>
      <c r="G144" s="16" t="n">
        <f aca="false">sol_ecl!$H$144</f>
        <v>334.645789732579</v>
      </c>
      <c r="H144" s="6" t="n">
        <f aca="false">calc!$Z$144</f>
        <v>-5.16472698927984</v>
      </c>
      <c r="I144" s="112" t="n">
        <f aca="false">10*H144</f>
        <v>-51.6472698927984</v>
      </c>
      <c r="J144" s="103" t="n">
        <f aca="false">ABS(ABS(F144-G144)-180)</f>
        <v>94.0480305855585</v>
      </c>
      <c r="K144" s="6" t="str">
        <f aca="false">IF(ABS(J144)/11.31&lt;1,J144/11.31,"")</f>
        <v/>
      </c>
      <c r="L144" s="6" t="str">
        <f aca="false">IF(ABS(H144)/1.067&lt;1,H144,"")</f>
        <v/>
      </c>
      <c r="M144" s="107" t="str">
        <f aca="false">IF(OR(K144="",L144=""),"",ABS(K144)+ABS(L144))</f>
        <v/>
      </c>
    </row>
    <row r="145" customFormat="false" ht="17.75" hidden="false" customHeight="true" outlineLevel="0" collapsed="false">
      <c r="C145" s="2" t="n">
        <f aca="false">sol_ecl!$C$145</f>
        <v>24</v>
      </c>
      <c r="D145" s="2" t="n">
        <f aca="false">sol_ecl!$D$145</f>
        <v>5</v>
      </c>
      <c r="E145" s="102" t="n">
        <f aca="false">sol_ecl!$E$145</f>
        <v>144</v>
      </c>
      <c r="F145" s="6" t="n">
        <f aca="false">calc!$AN$145</f>
        <v>61.5834065108393</v>
      </c>
      <c r="G145" s="16" t="n">
        <f aca="false">sol_ecl!$H$145</f>
        <v>348.116624079538</v>
      </c>
      <c r="H145" s="6" t="n">
        <f aca="false">calc!$Z$145</f>
        <v>-4.76558134605814</v>
      </c>
      <c r="I145" s="112" t="n">
        <f aca="false">10*H145</f>
        <v>-47.6558134605814</v>
      </c>
      <c r="J145" s="103" t="n">
        <f aca="false">ABS(ABS(F145-G145)-180)</f>
        <v>106.533217568699</v>
      </c>
      <c r="K145" s="6" t="str">
        <f aca="false">IF(ABS(J145)/11.31&lt;1,J145/11.31,"")</f>
        <v/>
      </c>
      <c r="L145" s="6" t="str">
        <f aca="false">IF(ABS(H145)/1.067&lt;1,H145,"")</f>
        <v/>
      </c>
      <c r="M145" s="107" t="str">
        <f aca="false">IF(OR(K145="",L145=""),"",ABS(K145)+ABS(L145))</f>
        <v/>
      </c>
    </row>
    <row r="146" customFormat="false" ht="17.75" hidden="false" customHeight="true" outlineLevel="0" collapsed="false">
      <c r="C146" s="2" t="n">
        <f aca="false">sol_ecl!$C$146</f>
        <v>25</v>
      </c>
      <c r="D146" s="2" t="n">
        <f aca="false">sol_ecl!$D$146</f>
        <v>5</v>
      </c>
      <c r="E146" s="102" t="n">
        <f aca="false">sol_ecl!$E$146</f>
        <v>145</v>
      </c>
      <c r="F146" s="6" t="n">
        <f aca="false">calc!$AN$146</f>
        <v>62.5690538746621</v>
      </c>
      <c r="G146" s="16" t="n">
        <f aca="false">sol_ecl!$H$146</f>
        <v>1.25952089794399</v>
      </c>
      <c r="H146" s="6" t="n">
        <f aca="false">calc!$Z$146</f>
        <v>-4.12394365851817</v>
      </c>
      <c r="I146" s="112" t="n">
        <f aca="false">10*H146</f>
        <v>-41.2394365851817</v>
      </c>
      <c r="J146" s="103" t="n">
        <f aca="false">ABS(ABS(F146-G146)-180)</f>
        <v>118.690467023282</v>
      </c>
      <c r="K146" s="6" t="str">
        <f aca="false">IF(ABS(J146)/11.31&lt;1,J146/11.31,"")</f>
        <v/>
      </c>
      <c r="L146" s="6" t="str">
        <f aca="false">IF(ABS(H146)/1.067&lt;1,H146,"")</f>
        <v/>
      </c>
      <c r="M146" s="107" t="str">
        <f aca="false">IF(OR(K146="",L146=""),"",ABS(K146)+ABS(L146))</f>
        <v/>
      </c>
    </row>
    <row r="147" customFormat="false" ht="17.75" hidden="false" customHeight="true" outlineLevel="0" collapsed="false">
      <c r="C147" s="2" t="n">
        <f aca="false">sol_ecl!$C$147</f>
        <v>26</v>
      </c>
      <c r="D147" s="2" t="n">
        <f aca="false">sol_ecl!$D$147</f>
        <v>5</v>
      </c>
      <c r="E147" s="102" t="n">
        <f aca="false">sol_ecl!$E$147</f>
        <v>146</v>
      </c>
      <c r="F147" s="6" t="n">
        <f aca="false">calc!$AN$147</f>
        <v>63.5547012384832</v>
      </c>
      <c r="G147" s="16" t="n">
        <f aca="false">sol_ecl!$H$147</f>
        <v>14.1072825551605</v>
      </c>
      <c r="H147" s="6" t="n">
        <f aca="false">calc!$Z$147</f>
        <v>-3.28714678640016</v>
      </c>
      <c r="I147" s="112" t="n">
        <f aca="false">10*H147</f>
        <v>-32.8714678640016</v>
      </c>
      <c r="J147" s="103" t="n">
        <f aca="false">ABS(ABS(F147-G147)-180)</f>
        <v>130.552581316677</v>
      </c>
      <c r="K147" s="6" t="str">
        <f aca="false">IF(ABS(J147)/11.31&lt;1,J147/11.31,"")</f>
        <v/>
      </c>
      <c r="L147" s="6" t="str">
        <f aca="false">IF(ABS(H147)/1.067&lt;1,H147,"")</f>
        <v/>
      </c>
      <c r="M147" s="107" t="str">
        <f aca="false">IF(OR(K147="",L147=""),"",ABS(K147)+ABS(L147))</f>
        <v/>
      </c>
    </row>
    <row r="148" customFormat="false" ht="17.75" hidden="false" customHeight="true" outlineLevel="0" collapsed="false">
      <c r="C148" s="2" t="n">
        <f aca="false">sol_ecl!$C$148</f>
        <v>27</v>
      </c>
      <c r="D148" s="2" t="n">
        <f aca="false">sol_ecl!$D$148</f>
        <v>5</v>
      </c>
      <c r="E148" s="102" t="n">
        <f aca="false">sol_ecl!$E$148</f>
        <v>147</v>
      </c>
      <c r="F148" s="6" t="n">
        <f aca="false">calc!$AN$148</f>
        <v>64.5403486023079</v>
      </c>
      <c r="G148" s="16" t="n">
        <f aca="false">sol_ecl!$H$148</f>
        <v>26.6972680804478</v>
      </c>
      <c r="H148" s="6" t="n">
        <f aca="false">calc!$Z$148</f>
        <v>-2.30587833464353</v>
      </c>
      <c r="I148" s="112" t="n">
        <f aca="false">10*H148</f>
        <v>-23.0587833464353</v>
      </c>
      <c r="J148" s="103" t="n">
        <f aca="false">ABS(ABS(F148-G148)-180)</f>
        <v>142.15691947814</v>
      </c>
      <c r="K148" s="6" t="str">
        <f aca="false">IF(ABS(J148)/11.31&lt;1,J148/11.31,"")</f>
        <v/>
      </c>
      <c r="L148" s="6" t="str">
        <f aca="false">IF(ABS(H148)/1.067&lt;1,H148,"")</f>
        <v/>
      </c>
      <c r="M148" s="107" t="str">
        <f aca="false">IF(OR(K148="",L148=""),"",ABS(K148)+ABS(L148))</f>
        <v/>
      </c>
    </row>
    <row r="149" customFormat="false" ht="17.75" hidden="false" customHeight="true" outlineLevel="0" collapsed="false">
      <c r="C149" s="2" t="n">
        <f aca="false">sol_ecl!$C$149</f>
        <v>28</v>
      </c>
      <c r="D149" s="2" t="n">
        <f aca="false">sol_ecl!$D$149</f>
        <v>5</v>
      </c>
      <c r="E149" s="102" t="n">
        <f aca="false">sol_ecl!$E$149</f>
        <v>148</v>
      </c>
      <c r="F149" s="6" t="n">
        <f aca="false">calc!$AN$149</f>
        <v>65.5259959661307</v>
      </c>
      <c r="G149" s="16" t="n">
        <f aca="false">sol_ecl!$H$149</f>
        <v>39.0674516409723</v>
      </c>
      <c r="H149" s="6" t="n">
        <f aca="false">calc!$Z$149</f>
        <v>-1.23213958857919</v>
      </c>
      <c r="I149" s="112" t="n">
        <f aca="false">10*H149</f>
        <v>-12.3213958857919</v>
      </c>
      <c r="J149" s="103" t="n">
        <f aca="false">ABS(ABS(F149-G149)-180)</f>
        <v>153.541455674842</v>
      </c>
      <c r="K149" s="6" t="str">
        <f aca="false">IF(ABS(J149)/11.31&lt;1,J149/11.31,"")</f>
        <v/>
      </c>
      <c r="L149" s="6" t="str">
        <f aca="false">IF(ABS(H149)/1.067&lt;1,H149,"")</f>
        <v/>
      </c>
      <c r="M149" s="107" t="str">
        <f aca="false">IF(OR(K149="",L149=""),"",ABS(K149)+ABS(L149))</f>
        <v/>
      </c>
    </row>
    <row r="150" customFormat="false" ht="17.75" hidden="false" customHeight="true" outlineLevel="0" collapsed="false">
      <c r="C150" s="2" t="n">
        <f aca="false">sol_ecl!$C$150</f>
        <v>29</v>
      </c>
      <c r="D150" s="2" t="n">
        <f aca="false">sol_ecl!$D$150</f>
        <v>5</v>
      </c>
      <c r="E150" s="102" t="n">
        <f aca="false">sol_ecl!$E$150</f>
        <v>149</v>
      </c>
      <c r="F150" s="6" t="n">
        <f aca="false">calc!$AN$150</f>
        <v>66.5116433299536</v>
      </c>
      <c r="G150" s="16" t="n">
        <f aca="false">sol_ecl!$H$150</f>
        <v>51.2551775643718</v>
      </c>
      <c r="H150" s="6" t="n">
        <f aca="false">calc!$Z$150</f>
        <v>-0.117582879366761</v>
      </c>
      <c r="I150" s="112" t="n">
        <f aca="false">10*H150</f>
        <v>-1.17582879366761</v>
      </c>
      <c r="J150" s="103" t="n">
        <f aca="false">ABS(ABS(F150-G150)-180)</f>
        <v>164.743534234418</v>
      </c>
      <c r="K150" s="6" t="str">
        <f aca="false">IF(ABS(J150)/11.31&lt;1,J150/11.31,"")</f>
        <v/>
      </c>
      <c r="L150" s="6" t="n">
        <f aca="false">IF(ABS(H150)/1.067&lt;1,H150,"")</f>
        <v>-0.117582879366761</v>
      </c>
      <c r="M150" s="107" t="str">
        <f aca="false">IF(OR(K150="",L150=""),"",ABS(K150)+ABS(L150))</f>
        <v/>
      </c>
    </row>
    <row r="151" customFormat="false" ht="17.75" hidden="false" customHeight="true" outlineLevel="0" collapsed="false">
      <c r="C151" s="2" t="n">
        <f aca="false">sol_ecl!$C$151</f>
        <v>30</v>
      </c>
      <c r="D151" s="2" t="n">
        <f aca="false">sol_ecl!$D$151</f>
        <v>5</v>
      </c>
      <c r="E151" s="102" t="n">
        <f aca="false">sol_ecl!$E$151</f>
        <v>150</v>
      </c>
      <c r="F151" s="6" t="n">
        <f aca="false">calc!$AN$151</f>
        <v>67.4972906937765</v>
      </c>
      <c r="G151" s="16" t="n">
        <f aca="false">sol_ecl!$H$151</f>
        <v>63.2974603455852</v>
      </c>
      <c r="H151" s="6" t="n">
        <f aca="false">calc!$Z$151</f>
        <v>0.988100170488519</v>
      </c>
      <c r="I151" s="112" t="n">
        <f aca="false">10*H151</f>
        <v>9.88100170488519</v>
      </c>
      <c r="J151" s="103" t="n">
        <f aca="false">ABS(ABS(F151-G151)-180)</f>
        <v>175.800169651809</v>
      </c>
      <c r="K151" s="6" t="str">
        <f aca="false">IF(ABS(J151)/11.31&lt;1,J151/11.31,"")</f>
        <v/>
      </c>
      <c r="L151" s="6" t="n">
        <f aca="false">IF(ABS(H151)/1.067&lt;1,H151,"")</f>
        <v>0.988100170488519</v>
      </c>
      <c r="M151" s="107" t="str">
        <f aca="false">IF(OR(K151="",L151=""),"",ABS(K151)+ABS(L151))</f>
        <v/>
      </c>
    </row>
    <row r="152" customFormat="false" ht="17.75" hidden="false" customHeight="true" outlineLevel="0" collapsed="false">
      <c r="C152" s="2" t="n">
        <f aca="false">sol_ecl!$C$152</f>
        <v>31</v>
      </c>
      <c r="D152" s="2" t="n">
        <f aca="false">sol_ecl!$D$152</f>
        <v>5</v>
      </c>
      <c r="E152" s="102" t="n">
        <f aca="false">sol_ecl!$E$152</f>
        <v>151</v>
      </c>
      <c r="F152" s="6" t="n">
        <f aca="false">calc!$AN$152</f>
        <v>68.4829380576011</v>
      </c>
      <c r="G152" s="16" t="n">
        <f aca="false">sol_ecl!$H$152</f>
        <v>75.2315804841383</v>
      </c>
      <c r="H152" s="6" t="n">
        <f aca="false">calc!$Z$152</f>
        <v>2.03866511575553</v>
      </c>
      <c r="I152" s="112" t="n">
        <f aca="false">10*H152</f>
        <v>20.3866511575553</v>
      </c>
      <c r="J152" s="103" t="n">
        <f aca="false">ABS(ABS(F152-G152)-180)</f>
        <v>173.251357573463</v>
      </c>
      <c r="K152" s="6" t="str">
        <f aca="false">IF(ABS(J152)/11.31&lt;1,J152/11.31,"")</f>
        <v/>
      </c>
      <c r="L152" s="6" t="str">
        <f aca="false">IF(ABS(H152)/1.067&lt;1,H152,"")</f>
        <v/>
      </c>
      <c r="M152" s="107" t="str">
        <f aca="false">IF(OR(K152="",L152=""),"",ABS(K152)+ABS(L152))</f>
        <v/>
      </c>
    </row>
    <row r="153" customFormat="false" ht="17.75" hidden="false" customHeight="true" outlineLevel="0" collapsed="false">
      <c r="C153" s="2" t="n">
        <f aca="false">sol_ecl!$C$153</f>
        <v>1</v>
      </c>
      <c r="D153" s="2" t="n">
        <f aca="false">sol_ecl!$D$153</f>
        <v>6</v>
      </c>
      <c r="E153" s="102" t="n">
        <f aca="false">sol_ecl!$E$153</f>
        <v>152</v>
      </c>
      <c r="F153" s="6" t="n">
        <f aca="false">calc!$AN$153</f>
        <v>69.4685854214258</v>
      </c>
      <c r="G153" s="16" t="n">
        <f aca="false">sol_ecl!$H$153</f>
        <v>87.0952822969911</v>
      </c>
      <c r="H153" s="6" t="n">
        <f aca="false">calc!$Z$153</f>
        <v>2.99245953654991</v>
      </c>
      <c r="I153" s="112" t="n">
        <f aca="false">10*H153</f>
        <v>29.9245953654991</v>
      </c>
      <c r="J153" s="103" t="n">
        <f aca="false">ABS(ABS(F153-G153)-180)</f>
        <v>162.373303124435</v>
      </c>
      <c r="K153" s="6" t="str">
        <f aca="false">IF(ABS(J153)/11.31&lt;1,J153/11.31,"")</f>
        <v/>
      </c>
      <c r="L153" s="6" t="str">
        <f aca="false">IF(ABS(H153)/1.067&lt;1,H153,"")</f>
        <v/>
      </c>
      <c r="M153" s="107" t="str">
        <f aca="false">IF(OR(K153="",L153=""),"",ABS(K153)+ABS(L153))</f>
        <v/>
      </c>
    </row>
    <row r="154" customFormat="false" ht="17.75" hidden="false" customHeight="true" outlineLevel="0" collapsed="false">
      <c r="C154" s="2" t="n">
        <f aca="false">sol_ecl!$C$154</f>
        <v>2</v>
      </c>
      <c r="D154" s="2" t="n">
        <f aca="false">sol_ecl!$D$154</f>
        <v>6</v>
      </c>
      <c r="E154" s="102" t="n">
        <f aca="false">sol_ecl!$E$154</f>
        <v>153</v>
      </c>
      <c r="F154" s="6" t="n">
        <f aca="false">calc!$AN$154</f>
        <v>70.4542327852505</v>
      </c>
      <c r="G154" s="16" t="n">
        <f aca="false">sol_ecl!$H$154</f>
        <v>98.9266982688588</v>
      </c>
      <c r="H154" s="6" t="n">
        <f aca="false">calc!$Z$154</f>
        <v>3.81309980383893</v>
      </c>
      <c r="I154" s="112" t="n">
        <f aca="false">10*H154</f>
        <v>38.1309980383893</v>
      </c>
      <c r="J154" s="103" t="n">
        <f aca="false">ABS(ABS(F154-G154)-180)</f>
        <v>151.527534516392</v>
      </c>
      <c r="K154" s="6" t="str">
        <f aca="false">IF(ABS(J154)/11.31&lt;1,J154/11.31,"")</f>
        <v/>
      </c>
      <c r="L154" s="6" t="str">
        <f aca="false">IF(ABS(H154)/1.067&lt;1,H154,"")</f>
        <v/>
      </c>
      <c r="M154" s="107" t="str">
        <f aca="false">IF(OR(K154="",L154=""),"",ABS(K154)+ABS(L154))</f>
        <v/>
      </c>
    </row>
    <row r="155" customFormat="false" ht="17.75" hidden="false" customHeight="true" outlineLevel="0" collapsed="false">
      <c r="C155" s="2" t="n">
        <f aca="false">sol_ecl!$C$155</f>
        <v>3</v>
      </c>
      <c r="D155" s="2" t="n">
        <f aca="false">sol_ecl!$D$155</f>
        <v>6</v>
      </c>
      <c r="E155" s="102" t="n">
        <f aca="false">sol_ecl!$E$155</f>
        <v>154</v>
      </c>
      <c r="F155" s="6" t="n">
        <f aca="false">calc!$AN$155</f>
        <v>71.439880149077</v>
      </c>
      <c r="G155" s="16" t="n">
        <f aca="false">sol_ecl!$H$155</f>
        <v>110.764713996874</v>
      </c>
      <c r="H155" s="6" t="n">
        <f aca="false">calc!$Z$155</f>
        <v>4.4697017153972</v>
      </c>
      <c r="I155" s="112" t="n">
        <f aca="false">10*H155</f>
        <v>44.697017153972</v>
      </c>
      <c r="J155" s="103" t="n">
        <f aca="false">ABS(ABS(F155-G155)-180)</f>
        <v>140.675166152203</v>
      </c>
      <c r="K155" s="6" t="str">
        <f aca="false">IF(ABS(J155)/11.31&lt;1,J155/11.31,"")</f>
        <v/>
      </c>
      <c r="L155" s="6" t="str">
        <f aca="false">IF(ABS(H155)/1.067&lt;1,H155,"")</f>
        <v/>
      </c>
      <c r="M155" s="107" t="str">
        <f aca="false">IF(OR(K155="",L155=""),"",ABS(K155)+ABS(L155))</f>
        <v/>
      </c>
    </row>
    <row r="156" customFormat="false" ht="17.75" hidden="false" customHeight="true" outlineLevel="0" collapsed="false">
      <c r="C156" s="2" t="n">
        <f aca="false">sol_ecl!$C$156</f>
        <v>4</v>
      </c>
      <c r="D156" s="2" t="n">
        <f aca="false">sol_ecl!$D$156</f>
        <v>6</v>
      </c>
      <c r="E156" s="102" t="n">
        <f aca="false">sol_ecl!$E$156</f>
        <v>155</v>
      </c>
      <c r="F156" s="6" t="n">
        <f aca="false">calc!$AN$156</f>
        <v>72.4255275129035</v>
      </c>
      <c r="G156" s="16" t="n">
        <f aca="false">sol_ecl!$H$156</f>
        <v>122.650487760093</v>
      </c>
      <c r="H156" s="6" t="n">
        <f aca="false">calc!$Z$156</f>
        <v>4.93675874898994</v>
      </c>
      <c r="I156" s="112" t="n">
        <f aca="false">10*H156</f>
        <v>49.3675874898994</v>
      </c>
      <c r="J156" s="103" t="n">
        <f aca="false">ABS(ABS(F156-G156)-180)</f>
        <v>129.775039752811</v>
      </c>
      <c r="K156" s="6" t="str">
        <f aca="false">IF(ABS(J156)/11.31&lt;1,J156/11.31,"")</f>
        <v/>
      </c>
      <c r="L156" s="6" t="str">
        <f aca="false">IF(ABS(H156)/1.067&lt;1,H156,"")</f>
        <v/>
      </c>
      <c r="M156" s="107" t="str">
        <f aca="false">IF(OR(K156="",L156=""),"",ABS(K156)+ABS(L156))</f>
        <v/>
      </c>
    </row>
    <row r="157" customFormat="false" ht="17.75" hidden="false" customHeight="true" outlineLevel="0" collapsed="false">
      <c r="C157" s="2" t="n">
        <f aca="false">sol_ecl!$C$157</f>
        <v>5</v>
      </c>
      <c r="D157" s="2" t="n">
        <f aca="false">sol_ecl!$D$157</f>
        <v>6</v>
      </c>
      <c r="E157" s="102" t="n">
        <f aca="false">sol_ecl!$E$157</f>
        <v>156</v>
      </c>
      <c r="F157" s="6" t="n">
        <f aca="false">calc!$AN$157</f>
        <v>73.4111748767282</v>
      </c>
      <c r="G157" s="16" t="n">
        <f aca="false">sol_ecl!$H$157</f>
        <v>134.630193046802</v>
      </c>
      <c r="H157" s="6" t="n">
        <f aca="false">calc!$Z$157</f>
        <v>5.19376740840318</v>
      </c>
      <c r="I157" s="112" t="n">
        <f aca="false">10*H157</f>
        <v>51.9376740840318</v>
      </c>
      <c r="J157" s="103" t="n">
        <f aca="false">ABS(ABS(F157-G157)-180)</f>
        <v>118.780981829926</v>
      </c>
      <c r="K157" s="6" t="str">
        <f aca="false">IF(ABS(J157)/11.31&lt;1,J157/11.31,"")</f>
        <v/>
      </c>
      <c r="L157" s="6" t="str">
        <f aca="false">IF(ABS(H157)/1.067&lt;1,H157,"")</f>
        <v/>
      </c>
      <c r="M157" s="107" t="str">
        <f aca="false">IF(OR(K157="",L157=""),"",ABS(K157)+ABS(L157))</f>
        <v/>
      </c>
    </row>
    <row r="158" customFormat="false" ht="17.75" hidden="false" customHeight="true" outlineLevel="0" collapsed="false">
      <c r="C158" s="2" t="n">
        <f aca="false">sol_ecl!$C$158</f>
        <v>6</v>
      </c>
      <c r="D158" s="2" t="n">
        <f aca="false">sol_ecl!$D$158</f>
        <v>6</v>
      </c>
      <c r="E158" s="102" t="n">
        <f aca="false">sol_ecl!$E$158</f>
        <v>157</v>
      </c>
      <c r="F158" s="6" t="n">
        <f aca="false">calc!$AN$158</f>
        <v>74.3968222405565</v>
      </c>
      <c r="G158" s="16" t="n">
        <f aca="false">sol_ecl!$H$158</f>
        <v>146.758045430266</v>
      </c>
      <c r="H158" s="6" t="n">
        <f aca="false">calc!$Z$158</f>
        <v>5.22475772171411</v>
      </c>
      <c r="I158" s="112" t="n">
        <f aca="false">10*H158</f>
        <v>52.2475772171411</v>
      </c>
      <c r="J158" s="103" t="n">
        <f aca="false">ABS(ABS(F158-G158)-180)</f>
        <v>107.63877681029</v>
      </c>
      <c r="K158" s="6" t="str">
        <f aca="false">IF(ABS(J158)/11.31&lt;1,J158/11.31,"")</f>
        <v/>
      </c>
      <c r="L158" s="6" t="str">
        <f aca="false">IF(ABS(H158)/1.067&lt;1,H158,"")</f>
        <v/>
      </c>
      <c r="M158" s="107" t="str">
        <f aca="false">IF(OR(K158="",L158=""),"",ABS(K158)+ABS(L158))</f>
        <v/>
      </c>
    </row>
    <row r="159" customFormat="false" ht="17.75" hidden="false" customHeight="true" outlineLevel="0" collapsed="false">
      <c r="C159" s="2" t="n">
        <f aca="false">sol_ecl!$C$159</f>
        <v>7</v>
      </c>
      <c r="D159" s="2" t="n">
        <f aca="false">sol_ecl!$D$159</f>
        <v>6</v>
      </c>
      <c r="E159" s="102" t="n">
        <f aca="false">sol_ecl!$E$159</f>
        <v>158</v>
      </c>
      <c r="F159" s="6" t="n">
        <f aca="false">calc!$AN$159</f>
        <v>75.382469604383</v>
      </c>
      <c r="G159" s="16" t="n">
        <f aca="false">sol_ecl!$H$159</f>
        <v>159.097813504251</v>
      </c>
      <c r="H159" s="6" t="n">
        <f aca="false">calc!$Z$159</f>
        <v>5.01808838026788</v>
      </c>
      <c r="I159" s="112" t="n">
        <f aca="false">10*H159</f>
        <v>50.1808838026788</v>
      </c>
      <c r="J159" s="103" t="n">
        <f aca="false">ABS(ABS(F159-G159)-180)</f>
        <v>96.2846561001321</v>
      </c>
      <c r="K159" s="6" t="str">
        <f aca="false">IF(ABS(J159)/11.31&lt;1,J159/11.31,"")</f>
        <v/>
      </c>
      <c r="L159" s="6" t="str">
        <f aca="false">IF(ABS(H159)/1.067&lt;1,H159,"")</f>
        <v/>
      </c>
      <c r="M159" s="107" t="str">
        <f aca="false">IF(OR(K159="",L159=""),"",ABS(K159)+ABS(L159))</f>
        <v/>
      </c>
    </row>
    <row r="160" customFormat="false" ht="17.75" hidden="false" customHeight="true" outlineLevel="0" collapsed="false">
      <c r="C160" s="2" t="n">
        <f aca="false">sol_ecl!$C$160</f>
        <v>8</v>
      </c>
      <c r="D160" s="2" t="n">
        <f aca="false">sol_ecl!$D$160</f>
        <v>6</v>
      </c>
      <c r="E160" s="102" t="n">
        <f aca="false">sol_ecl!$E$160</f>
        <v>159</v>
      </c>
      <c r="F160" s="6" t="n">
        <f aca="false">calc!$AN$160</f>
        <v>76.3681169682131</v>
      </c>
      <c r="G160" s="16" t="n">
        <f aca="false">sol_ecl!$H$160</f>
        <v>171.720801356993</v>
      </c>
      <c r="H160" s="6" t="n">
        <f aca="false">calc!$Z$160</f>
        <v>4.56714633029515</v>
      </c>
      <c r="I160" s="112" t="n">
        <f aca="false">10*H160</f>
        <v>45.6714633029515</v>
      </c>
      <c r="J160" s="103" t="n">
        <f aca="false">ABS(ABS(F160-G160)-180)</f>
        <v>84.6473156112199</v>
      </c>
      <c r="K160" s="6" t="str">
        <f aca="false">IF(ABS(J160)/11.31&lt;1,J160/11.31,"")</f>
        <v/>
      </c>
      <c r="L160" s="6" t="str">
        <f aca="false">IF(ABS(H160)/1.067&lt;1,H160,"")</f>
        <v/>
      </c>
      <c r="M160" s="107" t="str">
        <f aca="false">IF(OR(K160="",L160=""),"",ABS(K160)+ABS(L160))</f>
        <v/>
      </c>
    </row>
    <row r="161" customFormat="false" ht="17.75" hidden="false" customHeight="true" outlineLevel="0" collapsed="false">
      <c r="C161" s="2" t="n">
        <f aca="false">sol_ecl!$C$161</f>
        <v>9</v>
      </c>
      <c r="D161" s="2" t="n">
        <f aca="false">sol_ecl!$D$161</f>
        <v>6</v>
      </c>
      <c r="E161" s="102" t="n">
        <f aca="false">sol_ecl!$E$161</f>
        <v>160</v>
      </c>
      <c r="F161" s="6" t="n">
        <f aca="false">calc!$AN$161</f>
        <v>77.3537643320397</v>
      </c>
      <c r="G161" s="16" t="n">
        <f aca="false">sol_ecl!$H$161</f>
        <v>184.698993880805</v>
      </c>
      <c r="H161" s="6" t="n">
        <f aca="false">calc!$Z$161</f>
        <v>3.87271175229072</v>
      </c>
      <c r="I161" s="112" t="n">
        <f aca="false">10*H161</f>
        <v>38.7271175229072</v>
      </c>
      <c r="J161" s="103" t="n">
        <f aca="false">ABS(ABS(F161-G161)-180)</f>
        <v>72.6547704512348</v>
      </c>
      <c r="K161" s="6" t="str">
        <f aca="false">IF(ABS(J161)/11.31&lt;1,J161/11.31,"")</f>
        <v/>
      </c>
      <c r="L161" s="6" t="str">
        <f aca="false">IF(ABS(H161)/1.067&lt;1,H161,"")</f>
        <v/>
      </c>
      <c r="M161" s="107" t="str">
        <f aca="false">IF(OR(K161="",L161=""),"",ABS(K161)+ABS(L161))</f>
        <v/>
      </c>
    </row>
    <row r="162" customFormat="false" ht="17.75" hidden="false" customHeight="true" outlineLevel="0" collapsed="false">
      <c r="C162" s="2" t="n">
        <f aca="false">sol_ecl!$C$162</f>
        <v>10</v>
      </c>
      <c r="D162" s="2" t="n">
        <f aca="false">sol_ecl!$D$162</f>
        <v>6</v>
      </c>
      <c r="E162" s="102" t="n">
        <f aca="false">sol_ecl!$E$162</f>
        <v>161</v>
      </c>
      <c r="F162" s="6" t="n">
        <f aca="false">calc!$AN$162</f>
        <v>78.339411695868</v>
      </c>
      <c r="G162" s="16" t="n">
        <f aca="false">sol_ecl!$H$162</f>
        <v>198.093560919627</v>
      </c>
      <c r="H162" s="6" t="n">
        <f aca="false">calc!$Z$162</f>
        <v>2.94740395031527</v>
      </c>
      <c r="I162" s="112" t="n">
        <f aca="false">10*H162</f>
        <v>29.4740395031527</v>
      </c>
      <c r="J162" s="103" t="n">
        <f aca="false">ABS(ABS(F162-G162)-180)</f>
        <v>60.2458507762414</v>
      </c>
      <c r="K162" s="6" t="str">
        <f aca="false">IF(ABS(J162)/11.31&lt;1,J162/11.31,"")</f>
        <v/>
      </c>
      <c r="L162" s="6" t="str">
        <f aca="false">IF(ABS(H162)/1.067&lt;1,H162,"")</f>
        <v/>
      </c>
      <c r="M162" s="107" t="str">
        <f aca="false">IF(OR(K162="",L162=""),"",ABS(K162)+ABS(L162))</f>
        <v/>
      </c>
    </row>
    <row r="163" customFormat="false" ht="17.75" hidden="false" customHeight="true" outlineLevel="0" collapsed="false">
      <c r="C163" s="2" t="n">
        <f aca="false">sol_ecl!$C$163</f>
        <v>11</v>
      </c>
      <c r="D163" s="2" t="n">
        <f aca="false">sol_ecl!$D$163</f>
        <v>6</v>
      </c>
      <c r="E163" s="102" t="n">
        <f aca="false">sol_ecl!$E$163</f>
        <v>162</v>
      </c>
      <c r="F163" s="6" t="n">
        <f aca="false">calc!$AN$163</f>
        <v>79.3250590596981</v>
      </c>
      <c r="G163" s="16" t="n">
        <f aca="false">sol_ecl!$H$163</f>
        <v>211.940737645713</v>
      </c>
      <c r="H163" s="6" t="n">
        <f aca="false">calc!$Z$163</f>
        <v>1.82163288576028</v>
      </c>
      <c r="I163" s="112" t="n">
        <f aca="false">10*H163</f>
        <v>18.2163288576028</v>
      </c>
      <c r="J163" s="103" t="n">
        <f aca="false">ABS(ABS(F163-G163)-180)</f>
        <v>47.3843214139853</v>
      </c>
      <c r="K163" s="6" t="str">
        <f aca="false">IF(ABS(J163)/11.31&lt;1,J163/11.31,"")</f>
        <v/>
      </c>
      <c r="L163" s="6" t="str">
        <f aca="false">IF(ABS(H163)/1.067&lt;1,H163,"")</f>
        <v/>
      </c>
      <c r="M163" s="107" t="str">
        <f aca="false">IF(OR(K163="",L163=""),"",ABS(K163)+ABS(L163))</f>
        <v/>
      </c>
    </row>
    <row r="164" customFormat="false" ht="17.75" hidden="false" customHeight="true" outlineLevel="0" collapsed="false">
      <c r="C164" s="2" t="n">
        <f aca="false">sol_ecl!$C$164</f>
        <v>12</v>
      </c>
      <c r="D164" s="2" t="n">
        <f aca="false">sol_ecl!$D$164</f>
        <v>6</v>
      </c>
      <c r="E164" s="102" t="n">
        <f aca="false">sol_ecl!$E$164</f>
        <v>163</v>
      </c>
      <c r="F164" s="6" t="n">
        <f aca="false">calc!$AN$164</f>
        <v>80.3107064235283</v>
      </c>
      <c r="G164" s="16" t="n">
        <f aca="false">sol_ecl!$H$164</f>
        <v>226.238554438698</v>
      </c>
      <c r="H164" s="6" t="n">
        <f aca="false">calc!$Z$164</f>
        <v>0.54903529151516</v>
      </c>
      <c r="I164" s="112" t="n">
        <f aca="false">10*H164</f>
        <v>5.4903529151516</v>
      </c>
      <c r="J164" s="103" t="n">
        <f aca="false">ABS(ABS(F164-G164)-180)</f>
        <v>34.0721519848306</v>
      </c>
      <c r="K164" s="6" t="str">
        <f aca="false">IF(ABS(J164)/11.31&lt;1,J164/11.31,"")</f>
        <v/>
      </c>
      <c r="L164" s="6" t="n">
        <f aca="false">IF(ABS(H164)/1.067&lt;1,H164,"")</f>
        <v>0.54903529151516</v>
      </c>
      <c r="M164" s="107" t="str">
        <f aca="false">IF(OR(K164="",L164=""),"",ABS(K164)+ABS(L164))</f>
        <v/>
      </c>
    </row>
    <row r="165" customFormat="false" ht="17.75" hidden="false" customHeight="true" outlineLevel="0" collapsed="false">
      <c r="C165" s="2" t="n">
        <f aca="false">sol_ecl!$C$165</f>
        <v>13</v>
      </c>
      <c r="D165" s="2" t="n">
        <f aca="false">sol_ecl!$D$165</f>
        <v>6</v>
      </c>
      <c r="E165" s="102" t="n">
        <f aca="false">sol_ecl!$E$165</f>
        <v>164</v>
      </c>
      <c r="F165" s="6" t="n">
        <f aca="false">calc!$AN$165</f>
        <v>81.2963537873602</v>
      </c>
      <c r="G165" s="16" t="n">
        <f aca="false">sol_ecl!$H$165</f>
        <v>240.938364300965</v>
      </c>
      <c r="H165" s="6" t="n">
        <f aca="false">calc!$Z$165</f>
        <v>-0.791802300617855</v>
      </c>
      <c r="I165" s="112" t="n">
        <f aca="false">10*H165</f>
        <v>-7.91802300617855</v>
      </c>
      <c r="J165" s="103" t="n">
        <f aca="false">ABS(ABS(F165-G165)-180)</f>
        <v>20.3579894863951</v>
      </c>
      <c r="K165" s="6" t="str">
        <f aca="false">IF(ABS(J165)/11.31&lt;1,J165/11.31,"")</f>
        <v/>
      </c>
      <c r="L165" s="6" t="n">
        <f aca="false">IF(ABS(H165)/1.067&lt;1,H165,"")</f>
        <v>-0.791802300617855</v>
      </c>
      <c r="M165" s="107" t="str">
        <f aca="false">IF(OR(K165="",L165=""),"",ABS(K165)+ABS(L165))</f>
        <v/>
      </c>
    </row>
    <row r="166" customFormat="false" ht="17.75" hidden="false" customHeight="true" outlineLevel="0" collapsed="false">
      <c r="C166" s="2" t="n">
        <f aca="false">sol_ecl!$C$166</f>
        <v>14</v>
      </c>
      <c r="D166" s="2" t="n">
        <f aca="false">sol_ecl!$D$166</f>
        <v>6</v>
      </c>
      <c r="E166" s="102" t="n">
        <f aca="false">sol_ecl!$E$166</f>
        <v>165</v>
      </c>
      <c r="F166" s="6" t="n">
        <f aca="false">calc!$AN$166</f>
        <v>82.2820011511903</v>
      </c>
      <c r="G166" s="16" t="n">
        <f aca="false">sol_ecl!$H$166</f>
        <v>255.944313026261</v>
      </c>
      <c r="H166" s="6" t="n">
        <f aca="false">calc!$Z$166</f>
        <v>-2.1023572438209</v>
      </c>
      <c r="I166" s="112" t="n">
        <f aca="false">10*H166</f>
        <v>-21.023572438209</v>
      </c>
      <c r="J166" s="103" t="n">
        <f aca="false">ABS(ABS(F166-G166)-180)</f>
        <v>6.3376881249298</v>
      </c>
      <c r="K166" s="6" t="n">
        <f aca="false">IF(ABS(J166)/11.31&lt;1,J166/11.31,"")</f>
        <v>0.560361461090168</v>
      </c>
      <c r="L166" s="6" t="str">
        <f aca="false">IF(ABS(H166)/1.067&lt;1,H166,"")</f>
        <v/>
      </c>
      <c r="M166" s="107" t="str">
        <f aca="false">IF(OR(K166="",L166=""),"",ABS(K166)+ABS(L166))</f>
        <v/>
      </c>
    </row>
    <row r="167" customFormat="false" ht="17.75" hidden="false" customHeight="true" outlineLevel="0" collapsed="false">
      <c r="C167" s="2" t="n">
        <f aca="false">sol_ecl!$C$167</f>
        <v>15</v>
      </c>
      <c r="D167" s="2" t="n">
        <f aca="false">sol_ecl!$D$167</f>
        <v>6</v>
      </c>
      <c r="E167" s="102" t="n">
        <f aca="false">sol_ecl!$E$167</f>
        <v>166</v>
      </c>
      <c r="F167" s="6" t="n">
        <f aca="false">calc!$AN$167</f>
        <v>83.2676485150223</v>
      </c>
      <c r="G167" s="16" t="n">
        <f aca="false">sol_ecl!$H$167</f>
        <v>271.121976799794</v>
      </c>
      <c r="H167" s="6" t="n">
        <f aca="false">calc!$Z$167</f>
        <v>-3.27672203830064</v>
      </c>
      <c r="I167" s="112" t="n">
        <f aca="false">10*H167</f>
        <v>-32.7672203830064</v>
      </c>
      <c r="J167" s="103" t="n">
        <f aca="false">ABS(ABS(F167-G167)-180)</f>
        <v>7.8543282847719</v>
      </c>
      <c r="K167" s="6" t="n">
        <f aca="false">IF(ABS(J167)/11.31&lt;1,J167/11.31,"")</f>
        <v>0.694458734285756</v>
      </c>
      <c r="L167" s="6" t="str">
        <f aca="false">IF(ABS(H167)/1.067&lt;1,H167,"")</f>
        <v/>
      </c>
      <c r="M167" s="107" t="str">
        <f aca="false">IF(OR(K167="",L167=""),"",ABS(K167)+ABS(L167))</f>
        <v/>
      </c>
    </row>
    <row r="168" customFormat="false" ht="17.75" hidden="false" customHeight="true" outlineLevel="0" collapsed="false">
      <c r="C168" s="2" t="n">
        <f aca="false">sol_ecl!$C$168</f>
        <v>16</v>
      </c>
      <c r="D168" s="2" t="n">
        <f aca="false">sol_ecl!$D$168</f>
        <v>6</v>
      </c>
      <c r="E168" s="102" t="n">
        <f aca="false">sol_ecl!$E$168</f>
        <v>167</v>
      </c>
      <c r="F168" s="6" t="n">
        <f aca="false">calc!$AN$168</f>
        <v>84.2532958788524</v>
      </c>
      <c r="G168" s="16" t="n">
        <f aca="false">sol_ecl!$H$168</f>
        <v>286.314932677776</v>
      </c>
      <c r="H168" s="6" t="n">
        <f aca="false">calc!$Z$168</f>
        <v>-4.21886963858372</v>
      </c>
      <c r="I168" s="112" t="n">
        <f aca="false">10*H168</f>
        <v>-42.1886963858372</v>
      </c>
      <c r="J168" s="103" t="n">
        <f aca="false">ABS(ABS(F168-G168)-180)</f>
        <v>22.0616367989238</v>
      </c>
      <c r="K168" s="6" t="str">
        <f aca="false">IF(ABS(J168)/11.31&lt;1,J168/11.31,"")</f>
        <v/>
      </c>
      <c r="L168" s="6" t="str">
        <f aca="false">IF(ABS(H168)/1.067&lt;1,H168,"")</f>
        <v/>
      </c>
      <c r="M168" s="107" t="str">
        <f aca="false">IF(OR(K168="",L168=""),"",ABS(K168)+ABS(L168))</f>
        <v/>
      </c>
    </row>
    <row r="169" customFormat="false" ht="17.75" hidden="false" customHeight="true" outlineLevel="0" collapsed="false">
      <c r="C169" s="2" t="n">
        <f aca="false">sol_ecl!$C$169</f>
        <v>17</v>
      </c>
      <c r="D169" s="2" t="n">
        <f aca="false">sol_ecl!$D$169</f>
        <v>6</v>
      </c>
      <c r="E169" s="102" t="n">
        <f aca="false">sol_ecl!$E$169</f>
        <v>168</v>
      </c>
      <c r="F169" s="6" t="n">
        <f aca="false">calc!$AN$169</f>
        <v>85.2389432426862</v>
      </c>
      <c r="G169" s="16" t="n">
        <f aca="false">sol_ecl!$H$169</f>
        <v>301.365826439542</v>
      </c>
      <c r="H169" s="6" t="n">
        <f aca="false">calc!$Z$169</f>
        <v>-4.85890340043503</v>
      </c>
      <c r="I169" s="112" t="n">
        <f aca="false">10*H169</f>
        <v>-48.5890340043503</v>
      </c>
      <c r="J169" s="103" t="n">
        <f aca="false">ABS(ABS(F169-G169)-180)</f>
        <v>36.1268831968554</v>
      </c>
      <c r="K169" s="6" t="str">
        <f aca="false">IF(ABS(J169)/11.31&lt;1,J169/11.31,"")</f>
        <v/>
      </c>
      <c r="L169" s="6" t="str">
        <f aca="false">IF(ABS(H169)/1.067&lt;1,H169,"")</f>
        <v/>
      </c>
      <c r="M169" s="107" t="str">
        <f aca="false">IF(OR(K169="",L169=""),"",ABS(K169)+ABS(L169))</f>
        <v/>
      </c>
    </row>
    <row r="170" customFormat="false" ht="17.75" hidden="false" customHeight="true" outlineLevel="0" collapsed="false">
      <c r="C170" s="2" t="n">
        <f aca="false">sol_ecl!$C$170</f>
        <v>18</v>
      </c>
      <c r="D170" s="2" t="n">
        <f aca="false">sol_ecl!$D$170</f>
        <v>6</v>
      </c>
      <c r="E170" s="102" t="n">
        <f aca="false">sol_ecl!$E$170</f>
        <v>169</v>
      </c>
      <c r="F170" s="6" t="n">
        <f aca="false">calc!$AN$170</f>
        <v>86.2245906065182</v>
      </c>
      <c r="G170" s="16" t="n">
        <f aca="false">sol_ecl!$H$170</f>
        <v>316.137285316882</v>
      </c>
      <c r="H170" s="6" t="n">
        <f aca="false">calc!$Z$170</f>
        <v>-5.16255104999251</v>
      </c>
      <c r="I170" s="112" t="n">
        <f aca="false">10*H170</f>
        <v>-51.6255104999251</v>
      </c>
      <c r="J170" s="103" t="n">
        <f aca="false">ABS(ABS(F170-G170)-180)</f>
        <v>49.9126947103636</v>
      </c>
      <c r="K170" s="6" t="str">
        <f aca="false">IF(ABS(J170)/11.31&lt;1,J170/11.31,"")</f>
        <v/>
      </c>
      <c r="L170" s="6" t="str">
        <f aca="false">IF(ABS(H170)/1.067&lt;1,H170,"")</f>
        <v/>
      </c>
      <c r="M170" s="107" t="str">
        <f aca="false">IF(OR(K170="",L170=""),"",ABS(K170)+ABS(L170))</f>
        <v/>
      </c>
    </row>
    <row r="171" customFormat="false" ht="17.75" hidden="false" customHeight="true" outlineLevel="0" collapsed="false">
      <c r="C171" s="2" t="n">
        <f aca="false">sol_ecl!$C$171</f>
        <v>19</v>
      </c>
      <c r="D171" s="2" t="n">
        <f aca="false">sol_ecl!$D$171</f>
        <v>6</v>
      </c>
      <c r="E171" s="102" t="n">
        <f aca="false">sol_ecl!$E$171</f>
        <v>170</v>
      </c>
      <c r="F171" s="6" t="n">
        <f aca="false">calc!$AN$171</f>
        <v>87.2102379703501</v>
      </c>
      <c r="G171" s="16" t="n">
        <f aca="false">sol_ecl!$H$171</f>
        <v>330.528179152156</v>
      </c>
      <c r="H171" s="6" t="n">
        <f aca="false">calc!$Z$171</f>
        <v>-5.13131310685563</v>
      </c>
      <c r="I171" s="112" t="n">
        <f aca="false">10*H171</f>
        <v>-51.3131310685563</v>
      </c>
      <c r="J171" s="103" t="n">
        <f aca="false">ABS(ABS(F171-G171)-180)</f>
        <v>63.3179411818059</v>
      </c>
      <c r="K171" s="6" t="str">
        <f aca="false">IF(ABS(J171)/11.31&lt;1,J171/11.31,"")</f>
        <v/>
      </c>
      <c r="L171" s="6" t="str">
        <f aca="false">IF(ABS(H171)/1.067&lt;1,H171,"")</f>
        <v/>
      </c>
      <c r="M171" s="107" t="str">
        <f aca="false">IF(OR(K171="",L171=""),"",ABS(K171)+ABS(L171))</f>
        <v/>
      </c>
    </row>
    <row r="172" customFormat="false" ht="17.75" hidden="false" customHeight="true" outlineLevel="0" collapsed="false">
      <c r="C172" s="2" t="n">
        <f aca="false">sol_ecl!$C$172</f>
        <v>20</v>
      </c>
      <c r="D172" s="2" t="n">
        <f aca="false">sol_ecl!$D$172</f>
        <v>6</v>
      </c>
      <c r="E172" s="102" t="n">
        <f aca="false">sol_ecl!$E$172</f>
        <v>171</v>
      </c>
      <c r="F172" s="6" t="n">
        <f aca="false">calc!$AN$172</f>
        <v>88.1958853341821</v>
      </c>
      <c r="G172" s="16" t="n">
        <f aca="false">sol_ecl!$H$172</f>
        <v>344.482176452476</v>
      </c>
      <c r="H172" s="6" t="n">
        <f aca="false">calc!$Z$172</f>
        <v>-4.79492249585939</v>
      </c>
      <c r="I172" s="112" t="n">
        <f aca="false">10*H172</f>
        <v>-47.9492249585939</v>
      </c>
      <c r="J172" s="103" t="n">
        <f aca="false">ABS(ABS(F172-G172)-180)</f>
        <v>76.2862911182943</v>
      </c>
      <c r="K172" s="6" t="str">
        <f aca="false">IF(ABS(J172)/11.31&lt;1,J172/11.31,"")</f>
        <v/>
      </c>
      <c r="L172" s="6" t="str">
        <f aca="false">IF(ABS(H172)/1.067&lt;1,H172,"")</f>
        <v/>
      </c>
      <c r="M172" s="107" t="str">
        <f aca="false">IF(OR(K172="",L172=""),"",ABS(K172)+ABS(L172))</f>
        <v/>
      </c>
    </row>
    <row r="173" customFormat="false" ht="17.75" hidden="false" customHeight="true" outlineLevel="0" collapsed="false">
      <c r="C173" s="2" t="n">
        <f aca="false">sol_ecl!$C$173</f>
        <v>21</v>
      </c>
      <c r="D173" s="2" t="n">
        <f aca="false">sol_ecl!$D$173</f>
        <v>6</v>
      </c>
      <c r="E173" s="102" t="n">
        <f aca="false">sol_ecl!$E$173</f>
        <v>172</v>
      </c>
      <c r="F173" s="6" t="n">
        <f aca="false">calc!$AN$173</f>
        <v>89.1815326980159</v>
      </c>
      <c r="G173" s="16" t="n">
        <f aca="false">sol_ecl!$H$173</f>
        <v>357.987751152452</v>
      </c>
      <c r="H173" s="6" t="n">
        <f aca="false">calc!$Z$173</f>
        <v>-4.2004537313907</v>
      </c>
      <c r="I173" s="112" t="n">
        <f aca="false">10*H173</f>
        <v>-42.004537313907</v>
      </c>
      <c r="J173" s="103" t="n">
        <f aca="false">ABS(ABS(F173-G173)-180)</f>
        <v>88.8062184544364</v>
      </c>
      <c r="K173" s="6" t="str">
        <f aca="false">IF(ABS(J173)/11.31&lt;1,J173/11.31,"")</f>
        <v/>
      </c>
      <c r="L173" s="6" t="str">
        <f aca="false">IF(ABS(H173)/1.067&lt;1,H173,"")</f>
        <v/>
      </c>
      <c r="M173" s="107" t="str">
        <f aca="false">IF(OR(K173="",L173=""),"",ABS(K173)+ABS(L173))</f>
        <v/>
      </c>
    </row>
    <row r="174" customFormat="false" ht="17.75" hidden="false" customHeight="true" outlineLevel="0" collapsed="false">
      <c r="C174" s="2" t="n">
        <f aca="false">sol_ecl!$C$174</f>
        <v>22</v>
      </c>
      <c r="D174" s="2" t="n">
        <f aca="false">sol_ecl!$D$174</f>
        <v>6</v>
      </c>
      <c r="E174" s="102" t="n">
        <f aca="false">sol_ecl!$E$174</f>
        <v>173</v>
      </c>
      <c r="F174" s="6" t="n">
        <f aca="false">calc!$AN$174</f>
        <v>90.1671800618515</v>
      </c>
      <c r="G174" s="16" t="n">
        <f aca="false">sol_ecl!$H$174</f>
        <v>11.071019259918</v>
      </c>
      <c r="H174" s="6" t="n">
        <f aca="false">calc!$Z$174</f>
        <v>-3.40238791161151</v>
      </c>
      <c r="I174" s="112" t="n">
        <f aca="false">10*H174</f>
        <v>-34.0238791161151</v>
      </c>
      <c r="J174" s="103" t="n">
        <f aca="false">ABS(ABS(F174-G174)-180)</f>
        <v>100.903839198067</v>
      </c>
      <c r="K174" s="6" t="str">
        <f aca="false">IF(ABS(J174)/11.31&lt;1,J174/11.31,"")</f>
        <v/>
      </c>
      <c r="L174" s="6" t="str">
        <f aca="false">IF(ABS(H174)/1.067&lt;1,H174,"")</f>
        <v/>
      </c>
      <c r="M174" s="107" t="str">
        <f aca="false">IF(OR(K174="",L174=""),"",ABS(K174)+ABS(L174))</f>
        <v/>
      </c>
    </row>
    <row r="175" customFormat="false" ht="17.75" hidden="false" customHeight="true" outlineLevel="0" collapsed="false">
      <c r="C175" s="2" t="n">
        <f aca="false">sol_ecl!$C$175</f>
        <v>23</v>
      </c>
      <c r="D175" s="2" t="n">
        <f aca="false">sol_ecl!$D$175</f>
        <v>6</v>
      </c>
      <c r="E175" s="102" t="n">
        <f aca="false">sol_ecl!$E$175</f>
        <v>174</v>
      </c>
      <c r="F175" s="6" t="n">
        <f aca="false">calc!$AN$175</f>
        <v>91.1528274256853</v>
      </c>
      <c r="G175" s="16" t="n">
        <f aca="false">sol_ecl!$H$175</f>
        <v>23.7843198282792</v>
      </c>
      <c r="H175" s="6" t="n">
        <f aca="false">calc!$Z$175</f>
        <v>-2.45600935993077</v>
      </c>
      <c r="I175" s="112" t="n">
        <f aca="false">10*H175</f>
        <v>-24.5600935993077</v>
      </c>
      <c r="J175" s="103" t="n">
        <f aca="false">ABS(ABS(F175-G175)-180)</f>
        <v>112.631492402594</v>
      </c>
      <c r="K175" s="6" t="str">
        <f aca="false">IF(ABS(J175)/11.31&lt;1,J175/11.31,"")</f>
        <v/>
      </c>
      <c r="L175" s="6" t="str">
        <f aca="false">IF(ABS(H175)/1.067&lt;1,H175,"")</f>
        <v/>
      </c>
      <c r="M175" s="107" t="str">
        <f aca="false">IF(OR(K175="",L175=""),"",ABS(K175)+ABS(L175))</f>
        <v/>
      </c>
    </row>
    <row r="176" customFormat="false" ht="17.75" hidden="false" customHeight="true" outlineLevel="0" collapsed="false">
      <c r="C176" s="2" t="n">
        <f aca="false">sol_ecl!$C$176</f>
        <v>24</v>
      </c>
      <c r="D176" s="2" t="n">
        <f aca="false">sol_ecl!$D$176</f>
        <v>6</v>
      </c>
      <c r="E176" s="102" t="n">
        <f aca="false">sol_ecl!$E$176</f>
        <v>175</v>
      </c>
      <c r="F176" s="6" t="n">
        <f aca="false">calc!$AN$176</f>
        <v>92.1384747895208</v>
      </c>
      <c r="G176" s="16" t="n">
        <f aca="false">sol_ecl!$H$176</f>
        <v>36.1939010033167</v>
      </c>
      <c r="H176" s="6" t="n">
        <f aca="false">calc!$Z$176</f>
        <v>-1.41430294432425</v>
      </c>
      <c r="I176" s="112" t="n">
        <f aca="false">10*H176</f>
        <v>-14.1430294432425</v>
      </c>
      <c r="J176" s="103" t="n">
        <f aca="false">ABS(ABS(F176-G176)-180)</f>
        <v>124.055426213796</v>
      </c>
      <c r="K176" s="6" t="str">
        <f aca="false">IF(ABS(J176)/11.31&lt;1,J176/11.31,"")</f>
        <v/>
      </c>
      <c r="L176" s="6" t="str">
        <f aca="false">IF(ABS(H176)/1.067&lt;1,H176,"")</f>
        <v/>
      </c>
      <c r="M176" s="107" t="str">
        <f aca="false">IF(OR(K176="",L176=""),"",ABS(K176)+ABS(L176))</f>
        <v/>
      </c>
    </row>
    <row r="177" customFormat="false" ht="17.75" hidden="false" customHeight="true" outlineLevel="0" collapsed="false">
      <c r="C177" s="2" t="n">
        <f aca="false">sol_ecl!$C$177</f>
        <v>25</v>
      </c>
      <c r="D177" s="2" t="n">
        <f aca="false">sol_ecl!$D$177</f>
        <v>6</v>
      </c>
      <c r="E177" s="102" t="n">
        <f aca="false">sol_ecl!$E$177</f>
        <v>176</v>
      </c>
      <c r="F177" s="6" t="n">
        <f aca="false">calc!$AN$177</f>
        <v>93.1241221533583</v>
      </c>
      <c r="G177" s="16" t="n">
        <f aca="false">sol_ecl!$H$177</f>
        <v>48.3694528160985</v>
      </c>
      <c r="H177" s="6" t="n">
        <f aca="false">calc!$Z$177</f>
        <v>-0.32717781775095</v>
      </c>
      <c r="I177" s="112" t="n">
        <f aca="false">10*H177</f>
        <v>-3.2717781775095</v>
      </c>
      <c r="J177" s="103" t="n">
        <f aca="false">ABS(ABS(F177-G177)-180)</f>
        <v>135.24533066274</v>
      </c>
      <c r="K177" s="6" t="str">
        <f aca="false">IF(ABS(J177)/11.31&lt;1,J177/11.31,"")</f>
        <v/>
      </c>
      <c r="L177" s="6" t="n">
        <f aca="false">IF(ABS(H177)/1.067&lt;1,H177,"")</f>
        <v>-0.32717781775095</v>
      </c>
      <c r="M177" s="107" t="str">
        <f aca="false">IF(OR(K177="",L177=""),"",ABS(K177)+ABS(L177))</f>
        <v/>
      </c>
    </row>
    <row r="178" customFormat="false" ht="17.75" hidden="false" customHeight="true" outlineLevel="0" collapsed="false">
      <c r="C178" s="2" t="n">
        <f aca="false">sol_ecl!$C$178</f>
        <v>26</v>
      </c>
      <c r="D178" s="2" t="n">
        <f aca="false">sol_ecl!$D$178</f>
        <v>6</v>
      </c>
      <c r="E178" s="102" t="n">
        <f aca="false">sol_ecl!$E$178</f>
        <v>177</v>
      </c>
      <c r="F178" s="6" t="n">
        <f aca="false">calc!$AN$178</f>
        <v>94.1097695171939</v>
      </c>
      <c r="G178" s="16" t="n">
        <f aca="false">sol_ecl!$H$178</f>
        <v>60.3769446093691</v>
      </c>
      <c r="H178" s="6" t="n">
        <f aca="false">calc!$Z$178</f>
        <v>0.758406878690889</v>
      </c>
      <c r="I178" s="112" t="n">
        <f aca="false">10*H178</f>
        <v>7.58406878690889</v>
      </c>
      <c r="J178" s="103" t="n">
        <f aca="false">ABS(ABS(F178-G178)-180)</f>
        <v>146.267175092175</v>
      </c>
      <c r="K178" s="6" t="str">
        <f aca="false">IF(ABS(J178)/11.31&lt;1,J178/11.31,"")</f>
        <v/>
      </c>
      <c r="L178" s="6" t="n">
        <f aca="false">IF(ABS(H178)/1.067&lt;1,H178,"")</f>
        <v>0.758406878690889</v>
      </c>
      <c r="M178" s="107" t="str">
        <f aca="false">IF(OR(K178="",L178=""),"",ABS(K178)+ABS(L178))</f>
        <v/>
      </c>
    </row>
    <row r="179" customFormat="false" ht="17.75" hidden="false" customHeight="true" outlineLevel="0" collapsed="false">
      <c r="C179" s="2" t="n">
        <f aca="false">sol_ecl!$C$179</f>
        <v>27</v>
      </c>
      <c r="D179" s="2" t="n">
        <f aca="false">sol_ecl!$D$179</f>
        <v>6</v>
      </c>
      <c r="E179" s="102" t="n">
        <f aca="false">sol_ecl!$E$179</f>
        <v>178</v>
      </c>
      <c r="F179" s="6" t="n">
        <f aca="false">calc!$AN$179</f>
        <v>95.0954168810313</v>
      </c>
      <c r="G179" s="16" t="n">
        <f aca="false">sol_ecl!$H$179</f>
        <v>72.2748629458748</v>
      </c>
      <c r="H179" s="6" t="n">
        <f aca="false">calc!$Z$179</f>
        <v>1.7983815088065</v>
      </c>
      <c r="I179" s="112" t="n">
        <f aca="false">10*H179</f>
        <v>17.983815088065</v>
      </c>
      <c r="J179" s="103" t="n">
        <f aca="false">ABS(ABS(F179-G179)-180)</f>
        <v>157.179446064844</v>
      </c>
      <c r="K179" s="6" t="str">
        <f aca="false">IF(ABS(J179)/11.31&lt;1,J179/11.31,"")</f>
        <v/>
      </c>
      <c r="L179" s="6" t="str">
        <f aca="false">IF(ABS(H179)/1.067&lt;1,H179,"")</f>
        <v/>
      </c>
      <c r="M179" s="107" t="str">
        <f aca="false">IF(OR(K179="",L179=""),"",ABS(K179)+ABS(L179))</f>
        <v/>
      </c>
    </row>
    <row r="180" customFormat="false" ht="17.75" hidden="false" customHeight="true" outlineLevel="0" collapsed="false">
      <c r="C180" s="2" t="n">
        <f aca="false">sol_ecl!$C$180</f>
        <v>28</v>
      </c>
      <c r="D180" s="2" t="n">
        <f aca="false">sol_ecl!$D$180</f>
        <v>6</v>
      </c>
      <c r="E180" s="102" t="n">
        <f aca="false">sol_ecl!$E$180</f>
        <v>179</v>
      </c>
      <c r="F180" s="6" t="n">
        <f aca="false">calc!$AN$180</f>
        <v>96.0810642448669</v>
      </c>
      <c r="G180" s="16" t="n">
        <f aca="false">sol_ecl!$H$180</f>
        <v>84.1130264197101</v>
      </c>
      <c r="H180" s="6" t="n">
        <f aca="false">calc!$Z$180</f>
        <v>2.75190778611396</v>
      </c>
      <c r="I180" s="112" t="n">
        <f aca="false">10*H180</f>
        <v>27.5190778611396</v>
      </c>
      <c r="J180" s="103" t="n">
        <f aca="false">ABS(ABS(F180-G180)-180)</f>
        <v>168.031962174843</v>
      </c>
      <c r="K180" s="6" t="str">
        <f aca="false">IF(ABS(J180)/11.31&lt;1,J180/11.31,"")</f>
        <v/>
      </c>
      <c r="L180" s="6" t="str">
        <f aca="false">IF(ABS(H180)/1.067&lt;1,H180,"")</f>
        <v/>
      </c>
      <c r="M180" s="107" t="str">
        <f aca="false">IF(OR(K180="",L180=""),"",ABS(K180)+ABS(L180))</f>
        <v/>
      </c>
    </row>
    <row r="181" customFormat="false" ht="17.75" hidden="false" customHeight="true" outlineLevel="0" collapsed="false">
      <c r="C181" s="2" t="n">
        <f aca="false">sol_ecl!$C$181</f>
        <v>29</v>
      </c>
      <c r="D181" s="2" t="n">
        <f aca="false">sol_ecl!$D$181</f>
        <v>6</v>
      </c>
      <c r="E181" s="102" t="n">
        <f aca="false">sol_ecl!$E$181</f>
        <v>180</v>
      </c>
      <c r="F181" s="6" t="n">
        <f aca="false">calc!$AN$181</f>
        <v>97.0667116087043</v>
      </c>
      <c r="G181" s="16" t="n">
        <f aca="false">sol_ecl!$H$181</f>
        <v>95.9329264216082</v>
      </c>
      <c r="H181" s="6" t="n">
        <f aca="false">calc!$Z$181</f>
        <v>3.58202880324654</v>
      </c>
      <c r="I181" s="112" t="n">
        <f aca="false">10*H181</f>
        <v>35.8202880324654</v>
      </c>
      <c r="J181" s="103" t="n">
        <f aca="false">ABS(ABS(F181-G181)-180)</f>
        <v>178.866214812904</v>
      </c>
      <c r="K181" s="6" t="str">
        <f aca="false">IF(ABS(J181)/11.31&lt;1,J181/11.31,"")</f>
        <v/>
      </c>
      <c r="L181" s="6" t="str">
        <f aca="false">IF(ABS(H181)/1.067&lt;1,H181,"")</f>
        <v/>
      </c>
      <c r="M181" s="107" t="str">
        <f aca="false">IF(OR(K181="",L181=""),"",ABS(K181)+ABS(L181))</f>
        <v/>
      </c>
    </row>
    <row r="182" customFormat="false" ht="17.75" hidden="false" customHeight="true" outlineLevel="0" collapsed="false">
      <c r="C182" s="2" t="n">
        <f aca="false">sol_ecl!$C$182</f>
        <v>30</v>
      </c>
      <c r="D182" s="2" t="n">
        <f aca="false">sol_ecl!$D$182</f>
        <v>6</v>
      </c>
      <c r="E182" s="102" t="n">
        <f aca="false">sol_ecl!$E$182</f>
        <v>181</v>
      </c>
      <c r="F182" s="6" t="n">
        <f aca="false">calc!$AN$182</f>
        <v>98.0523589725417</v>
      </c>
      <c r="G182" s="16" t="n">
        <f aca="false">sol_ecl!$H$182</f>
        <v>107.768908552665</v>
      </c>
      <c r="H182" s="6" t="n">
        <f aca="false">calc!$Z$182</f>
        <v>4.25640234586638</v>
      </c>
      <c r="I182" s="112" t="n">
        <f aca="false">10*H182</f>
        <v>42.5640234586638</v>
      </c>
      <c r="J182" s="103" t="n">
        <f aca="false">ABS(ABS(F182-G182)-180)</f>
        <v>170.283450419877</v>
      </c>
      <c r="K182" s="6" t="str">
        <f aca="false">IF(ABS(J182)/11.31&lt;1,J182/11.31,"")</f>
        <v/>
      </c>
      <c r="L182" s="6" t="str">
        <f aca="false">IF(ABS(H182)/1.067&lt;1,H182,"")</f>
        <v/>
      </c>
      <c r="M182" s="107" t="str">
        <f aca="false">IF(OR(K182="",L182=""),"",ABS(K182)+ABS(L182))</f>
        <v/>
      </c>
    </row>
    <row r="183" customFormat="false" ht="17.75" hidden="false" customHeight="true" outlineLevel="0" collapsed="false">
      <c r="C183" s="2" t="n">
        <f aca="false">sol_ecl!$C$183</f>
        <v>1</v>
      </c>
      <c r="D183" s="2" t="n">
        <f aca="false">sol_ecl!$D$183</f>
        <v>7</v>
      </c>
      <c r="E183" s="102" t="n">
        <f aca="false">sol_ecl!$E$183</f>
        <v>182</v>
      </c>
      <c r="F183" s="6" t="n">
        <f aca="false">calc!$AN$183</f>
        <v>99.0380063363809</v>
      </c>
      <c r="G183" s="16" t="n">
        <f aca="false">sol_ecl!$H$183</f>
        <v>119.650099185482</v>
      </c>
      <c r="H183" s="6" t="n">
        <f aca="false">calc!$Z$183</f>
        <v>4.74795411865312</v>
      </c>
      <c r="I183" s="112" t="n">
        <f aca="false">10*H183</f>
        <v>47.4795411865312</v>
      </c>
      <c r="J183" s="103" t="n">
        <f aca="false">ABS(ABS(F183-G183)-180)</f>
        <v>159.387907150899</v>
      </c>
      <c r="K183" s="6" t="str">
        <f aca="false">IF(ABS(J183)/11.31&lt;1,J183/11.31,"")</f>
        <v/>
      </c>
      <c r="L183" s="6" t="str">
        <f aca="false">IF(ABS(H183)/1.067&lt;1,H183,"")</f>
        <v/>
      </c>
      <c r="M183" s="107" t="str">
        <f aca="false">IF(OR(K183="",L183=""),"",ABS(K183)+ABS(L183))</f>
        <v/>
      </c>
    </row>
    <row r="184" customFormat="false" ht="17.75" hidden="false" customHeight="true" outlineLevel="0" collapsed="false">
      <c r="C184" s="2" t="n">
        <f aca="false">sol_ecl!$C$184</f>
        <v>2</v>
      </c>
      <c r="D184" s="2" t="n">
        <f aca="false">sol_ecl!$D$184</f>
        <v>7</v>
      </c>
      <c r="E184" s="102" t="n">
        <f aca="false">sol_ecl!$E$184</f>
        <v>183</v>
      </c>
      <c r="F184" s="6" t="n">
        <f aca="false">calc!$AN$184</f>
        <v>100.023653700218</v>
      </c>
      <c r="G184" s="16" t="n">
        <f aca="false">sol_ecl!$H$184</f>
        <v>131.603351793067</v>
      </c>
      <c r="H184" s="6" t="n">
        <f aca="false">calc!$Z$184</f>
        <v>5.03537696850709</v>
      </c>
      <c r="I184" s="112" t="n">
        <f aca="false">10*H184</f>
        <v>50.3537696850709</v>
      </c>
      <c r="J184" s="103" t="n">
        <f aca="false">ABS(ABS(F184-G184)-180)</f>
        <v>148.420301907151</v>
      </c>
      <c r="K184" s="6" t="str">
        <f aca="false">IF(ABS(J184)/11.31&lt;1,J184/11.31,"")</f>
        <v/>
      </c>
      <c r="L184" s="6" t="str">
        <f aca="false">IF(ABS(H184)/1.067&lt;1,H184,"")</f>
        <v/>
      </c>
      <c r="M184" s="107" t="str">
        <f aca="false">IF(OR(K184="",L184=""),"",ABS(K184)+ABS(L184))</f>
        <v/>
      </c>
    </row>
    <row r="185" customFormat="false" ht="17.75" hidden="false" customHeight="true" outlineLevel="0" collapsed="false">
      <c r="C185" s="2" t="n">
        <f aca="false">sol_ecl!$C$185</f>
        <v>3</v>
      </c>
      <c r="D185" s="2" t="n">
        <f aca="false">sol_ecl!$D$185</f>
        <v>7</v>
      </c>
      <c r="E185" s="102" t="n">
        <f aca="false">sol_ecl!$E$185</f>
        <v>184</v>
      </c>
      <c r="F185" s="6" t="n">
        <f aca="false">calc!$AN$185</f>
        <v>101.009301064059</v>
      </c>
      <c r="G185" s="16" t="n">
        <f aca="false">sol_ecl!$H$185</f>
        <v>143.657341705699</v>
      </c>
      <c r="H185" s="6" t="n">
        <f aca="false">calc!$Z$185</f>
        <v>5.10344442833417</v>
      </c>
      <c r="I185" s="112" t="n">
        <f aca="false">10*H185</f>
        <v>51.0344442833417</v>
      </c>
      <c r="J185" s="103" t="n">
        <f aca="false">ABS(ABS(F185-G185)-180)</f>
        <v>137.351959358361</v>
      </c>
      <c r="K185" s="6" t="str">
        <f aca="false">IF(ABS(J185)/11.31&lt;1,J185/11.31,"")</f>
        <v/>
      </c>
      <c r="L185" s="6" t="str">
        <f aca="false">IF(ABS(H185)/1.067&lt;1,H185,"")</f>
        <v/>
      </c>
      <c r="M185" s="107" t="str">
        <f aca="false">IF(OR(K185="",L185=""),"",ABS(K185)+ABS(L185))</f>
        <v/>
      </c>
    </row>
    <row r="186" customFormat="false" ht="17.75" hidden="false" customHeight="true" outlineLevel="0" collapsed="false">
      <c r="C186" s="2" t="n">
        <f aca="false">sol_ecl!$C$186</f>
        <v>4</v>
      </c>
      <c r="D186" s="2" t="n">
        <f aca="false">sol_ecl!$D$186</f>
        <v>7</v>
      </c>
      <c r="E186" s="102" t="n">
        <f aca="false">sol_ecl!$E$186</f>
        <v>185</v>
      </c>
      <c r="F186" s="6" t="n">
        <f aca="false">calc!$AN$186</f>
        <v>101.994948427899</v>
      </c>
      <c r="G186" s="16" t="n">
        <f aca="false">sol_ecl!$H$186</f>
        <v>155.847277741521</v>
      </c>
      <c r="H186" s="6" t="n">
        <f aca="false">calc!$Z$186</f>
        <v>4.94315514951906</v>
      </c>
      <c r="I186" s="112" t="n">
        <f aca="false">10*H186</f>
        <v>49.4315514951906</v>
      </c>
      <c r="J186" s="103" t="n">
        <f aca="false">ABS(ABS(F186-G186)-180)</f>
        <v>126.147670686377</v>
      </c>
      <c r="K186" s="6" t="str">
        <f aca="false">IF(ABS(J186)/11.31&lt;1,J186/11.31,"")</f>
        <v/>
      </c>
      <c r="L186" s="6" t="str">
        <f aca="false">IF(ABS(H186)/1.067&lt;1,H186,"")</f>
        <v/>
      </c>
      <c r="M186" s="107" t="str">
        <f aca="false">IF(OR(K186="",L186=""),"",ABS(K186)+ABS(L186))</f>
        <v/>
      </c>
    </row>
    <row r="187" customFormat="false" ht="17.75" hidden="false" customHeight="true" outlineLevel="0" collapsed="false">
      <c r="C187" s="2" t="n">
        <f aca="false">sol_ecl!$C$187</f>
        <v>5</v>
      </c>
      <c r="D187" s="2" t="n">
        <f aca="false">sol_ecl!$D$187</f>
        <v>7</v>
      </c>
      <c r="E187" s="102" t="n">
        <f aca="false">sol_ecl!$E$187</f>
        <v>186</v>
      </c>
      <c r="F187" s="6" t="n">
        <f aca="false">calc!$AN$187</f>
        <v>102.98059579174</v>
      </c>
      <c r="G187" s="16" t="n">
        <f aca="false">sol_ecl!$H$187</f>
        <v>168.218836050138</v>
      </c>
      <c r="H187" s="6" t="n">
        <f aca="false">calc!$Z$187</f>
        <v>4.5518737677075</v>
      </c>
      <c r="I187" s="112" t="n">
        <f aca="false">10*H187</f>
        <v>45.518737677075</v>
      </c>
      <c r="J187" s="103" t="n">
        <f aca="false">ABS(ABS(F187-G187)-180)</f>
        <v>114.761759741602</v>
      </c>
      <c r="K187" s="6" t="str">
        <f aca="false">IF(ABS(J187)/11.31&lt;1,J187/11.31,"")</f>
        <v/>
      </c>
      <c r="L187" s="6" t="str">
        <f aca="false">IF(ABS(H187)/1.067&lt;1,H187,"")</f>
        <v/>
      </c>
      <c r="M187" s="107" t="str">
        <f aca="false">IF(OR(K187="",L187=""),"",ABS(K187)+ABS(L187))</f>
        <v/>
      </c>
    </row>
    <row r="188" customFormat="false" ht="17.75" hidden="false" customHeight="true" outlineLevel="0" collapsed="false">
      <c r="C188" s="2" t="n">
        <f aca="false">sol_ecl!$C$188</f>
        <v>6</v>
      </c>
      <c r="D188" s="2" t="n">
        <f aca="false">sol_ecl!$D$188</f>
        <v>7</v>
      </c>
      <c r="E188" s="102" t="n">
        <f aca="false">sol_ecl!$E$188</f>
        <v>187</v>
      </c>
      <c r="F188" s="6" t="n">
        <f aca="false">calc!$AN$188</f>
        <v>103.966243155581</v>
      </c>
      <c r="G188" s="16" t="n">
        <f aca="false">sol_ecl!$H$188</f>
        <v>180.829341132941</v>
      </c>
      <c r="H188" s="6" t="n">
        <f aca="false">calc!$Z$188</f>
        <v>3.93388256298466</v>
      </c>
      <c r="I188" s="112" t="n">
        <f aca="false">10*H188</f>
        <v>39.3388256298466</v>
      </c>
      <c r="J188" s="103" t="n">
        <f aca="false">ABS(ABS(F188-G188)-180)</f>
        <v>103.13690202264</v>
      </c>
      <c r="K188" s="6" t="str">
        <f aca="false">IF(ABS(J188)/11.31&lt;1,J188/11.31,"")</f>
        <v/>
      </c>
      <c r="L188" s="6" t="str">
        <f aca="false">IF(ABS(H188)/1.067&lt;1,H188,"")</f>
        <v/>
      </c>
      <c r="M188" s="107" t="str">
        <f aca="false">IF(OR(K188="",L188=""),"",ABS(K188)+ABS(L188))</f>
        <v/>
      </c>
    </row>
    <row r="189" customFormat="false" ht="17.75" hidden="false" customHeight="true" outlineLevel="0" collapsed="false">
      <c r="C189" s="2" t="n">
        <f aca="false">sol_ecl!$C$189</f>
        <v>7</v>
      </c>
      <c r="D189" s="2" t="n">
        <f aca="false">sol_ecl!$D$189</f>
        <v>7</v>
      </c>
      <c r="E189" s="102" t="n">
        <f aca="false">sol_ecl!$E$189</f>
        <v>188</v>
      </c>
      <c r="F189" s="6" t="n">
        <f aca="false">calc!$AN$189</f>
        <v>104.951890519424</v>
      </c>
      <c r="G189" s="16" t="n">
        <f aca="false">sol_ecl!$H$189</f>
        <v>193.74435628987</v>
      </c>
      <c r="H189" s="6" t="n">
        <f aca="false">calc!$Z$189</f>
        <v>3.10193782336412</v>
      </c>
      <c r="I189" s="112" t="n">
        <f aca="false">10*H189</f>
        <v>31.0193782336412</v>
      </c>
      <c r="J189" s="103" t="n">
        <f aca="false">ABS(ABS(F189-G189)-180)</f>
        <v>91.2075342295541</v>
      </c>
      <c r="K189" s="6" t="str">
        <f aca="false">IF(ABS(J189)/11.31&lt;1,J189/11.31,"")</f>
        <v/>
      </c>
      <c r="L189" s="6" t="str">
        <f aca="false">IF(ABS(H189)/1.067&lt;1,H189,"")</f>
        <v/>
      </c>
      <c r="M189" s="107" t="str">
        <f aca="false">IF(OR(K189="",L189=""),"",ABS(K189)+ABS(L189))</f>
        <v/>
      </c>
    </row>
    <row r="190" customFormat="false" ht="17.75" hidden="false" customHeight="true" outlineLevel="0" collapsed="false">
      <c r="C190" s="2" t="n">
        <f aca="false">sol_ecl!$C$190</f>
        <v>8</v>
      </c>
      <c r="D190" s="2" t="n">
        <f aca="false">sol_ecl!$D$190</f>
        <v>7</v>
      </c>
      <c r="E190" s="102" t="n">
        <f aca="false">sol_ecl!$E$190</f>
        <v>189</v>
      </c>
      <c r="F190" s="6" t="n">
        <f aca="false">calc!$AN$190</f>
        <v>105.937537883265</v>
      </c>
      <c r="G190" s="16" t="n">
        <f aca="false">sol_ecl!$H$190</f>
        <v>207.028867609305</v>
      </c>
      <c r="H190" s="6" t="n">
        <f aca="false">calc!$Z$190</f>
        <v>2.0802582121552</v>
      </c>
      <c r="I190" s="112" t="n">
        <f aca="false">10*H190</f>
        <v>20.802582121552</v>
      </c>
      <c r="J190" s="103" t="n">
        <f aca="false">ABS(ABS(F190-G190)-180)</f>
        <v>78.9086702739597</v>
      </c>
      <c r="K190" s="6" t="str">
        <f aca="false">IF(ABS(J190)/11.31&lt;1,J190/11.31,"")</f>
        <v/>
      </c>
      <c r="L190" s="6" t="str">
        <f aca="false">IF(ABS(H190)/1.067&lt;1,H190,"")</f>
        <v/>
      </c>
      <c r="M190" s="107" t="str">
        <f aca="false">IF(OR(K190="",L190=""),"",ABS(K190)+ABS(L190))</f>
        <v/>
      </c>
    </row>
    <row r="191" customFormat="false" ht="17.75" hidden="false" customHeight="true" outlineLevel="0" collapsed="false">
      <c r="C191" s="2" t="n">
        <f aca="false">sol_ecl!$C$191</f>
        <v>9</v>
      </c>
      <c r="D191" s="2" t="n">
        <f aca="false">sol_ecl!$D$191</f>
        <v>7</v>
      </c>
      <c r="E191" s="102" t="n">
        <f aca="false">sol_ecl!$E$191</f>
        <v>190</v>
      </c>
      <c r="F191" s="6" t="n">
        <f aca="false">calc!$AN$191</f>
        <v>106.923185247106</v>
      </c>
      <c r="G191" s="16" t="n">
        <f aca="false">sol_ecl!$H$191</f>
        <v>220.733938110532</v>
      </c>
      <c r="H191" s="6" t="n">
        <f aca="false">calc!$Z$191</f>
        <v>0.908652224999752</v>
      </c>
      <c r="I191" s="112" t="n">
        <f aca="false">10*H191</f>
        <v>9.08652224999752</v>
      </c>
      <c r="J191" s="103" t="n">
        <f aca="false">ABS(ABS(F191-G191)-180)</f>
        <v>66.1892471365739</v>
      </c>
      <c r="K191" s="6" t="str">
        <f aca="false">IF(ABS(J191)/11.31&lt;1,J191/11.31,"")</f>
        <v/>
      </c>
      <c r="L191" s="6" t="n">
        <f aca="false">IF(ABS(H191)/1.067&lt;1,H191,"")</f>
        <v>0.908652224999752</v>
      </c>
      <c r="M191" s="107" t="str">
        <f aca="false">IF(OR(K191="",L191=""),"",ABS(K191)+ABS(L191))</f>
        <v/>
      </c>
    </row>
    <row r="192" customFormat="false" ht="17.75" hidden="false" customHeight="true" outlineLevel="0" collapsed="false">
      <c r="C192" s="2" t="n">
        <f aca="false">sol_ecl!$C$192</f>
        <v>10</v>
      </c>
      <c r="D192" s="2" t="n">
        <f aca="false">sol_ecl!$D$192</f>
        <v>7</v>
      </c>
      <c r="E192" s="102" t="n">
        <f aca="false">sol_ecl!$E$192</f>
        <v>191</v>
      </c>
      <c r="F192" s="6" t="n">
        <f aca="false">calc!$AN$192</f>
        <v>107.908832610947</v>
      </c>
      <c r="G192" s="16" t="n">
        <f aca="false">sol_ecl!$H$192</f>
        <v>234.881523484122</v>
      </c>
      <c r="H192" s="6" t="n">
        <f aca="false">calc!$Z$192</f>
        <v>-0.353697311655848</v>
      </c>
      <c r="I192" s="112" t="n">
        <f aca="false">10*H192</f>
        <v>-3.53697311655848</v>
      </c>
      <c r="J192" s="103" t="n">
        <f aca="false">ABS(ABS(F192-G192)-180)</f>
        <v>53.0273091268248</v>
      </c>
      <c r="K192" s="6" t="str">
        <f aca="false">IF(ABS(J192)/11.31&lt;1,J192/11.31,"")</f>
        <v/>
      </c>
      <c r="L192" s="6" t="n">
        <f aca="false">IF(ABS(H192)/1.067&lt;1,H192,"")</f>
        <v>-0.353697311655848</v>
      </c>
      <c r="M192" s="107" t="str">
        <f aca="false">IF(OR(K192="",L192=""),"",ABS(K192)+ABS(L192))</f>
        <v/>
      </c>
    </row>
    <row r="193" customFormat="false" ht="17.75" hidden="false" customHeight="true" outlineLevel="0" collapsed="false">
      <c r="C193" s="2" t="n">
        <f aca="false">sol_ecl!$C$193</f>
        <v>11</v>
      </c>
      <c r="D193" s="2" t="n">
        <f aca="false">sol_ecl!$D$193</f>
        <v>7</v>
      </c>
      <c r="E193" s="102" t="n">
        <f aca="false">sol_ecl!$E$193</f>
        <v>192</v>
      </c>
      <c r="F193" s="6" t="n">
        <f aca="false">calc!$AN$193</f>
        <v>108.894479974791</v>
      </c>
      <c r="G193" s="16" t="n">
        <f aca="false">sol_ecl!$H$193</f>
        <v>249.451390298384</v>
      </c>
      <c r="H193" s="6" t="n">
        <f aca="false">calc!$Z$193</f>
        <v>-1.62739160420788</v>
      </c>
      <c r="I193" s="112" t="n">
        <f aca="false">10*H193</f>
        <v>-16.2739160420788</v>
      </c>
      <c r="J193" s="103" t="n">
        <f aca="false">ABS(ABS(F193-G193)-180)</f>
        <v>39.4430896764071</v>
      </c>
      <c r="K193" s="6" t="str">
        <f aca="false">IF(ABS(J193)/11.31&lt;1,J193/11.31,"")</f>
        <v/>
      </c>
      <c r="L193" s="6" t="str">
        <f aca="false">IF(ABS(H193)/1.067&lt;1,H193,"")</f>
        <v/>
      </c>
      <c r="M193" s="107" t="str">
        <f aca="false">IF(OR(K193="",L193=""),"",ABS(K193)+ABS(L193))</f>
        <v/>
      </c>
    </row>
    <row r="194" customFormat="false" ht="17.75" hidden="false" customHeight="true" outlineLevel="0" collapsed="false">
      <c r="C194" s="2" t="n">
        <f aca="false">sol_ecl!$C$194</f>
        <v>12</v>
      </c>
      <c r="D194" s="2" t="n">
        <f aca="false">sol_ecl!$D$194</f>
        <v>7</v>
      </c>
      <c r="E194" s="102" t="n">
        <f aca="false">sol_ecl!$E$194</f>
        <v>193</v>
      </c>
      <c r="F194" s="6" t="n">
        <f aca="false">calc!$AN$194</f>
        <v>109.880127338634</v>
      </c>
      <c r="G194" s="16" t="n">
        <f aca="false">sol_ecl!$H$194</f>
        <v>264.374203335896</v>
      </c>
      <c r="H194" s="6" t="n">
        <f aca="false">calc!$Z$194</f>
        <v>-2.81764352865142</v>
      </c>
      <c r="I194" s="112" t="n">
        <f aca="false">10*H194</f>
        <v>-28.1764352865142</v>
      </c>
      <c r="J194" s="103" t="n">
        <f aca="false">ABS(ABS(F194-G194)-180)</f>
        <v>25.5059240027385</v>
      </c>
      <c r="K194" s="6" t="str">
        <f aca="false">IF(ABS(J194)/11.31&lt;1,J194/11.31,"")</f>
        <v/>
      </c>
      <c r="L194" s="6" t="str">
        <f aca="false">IF(ABS(H194)/1.067&lt;1,H194,"")</f>
        <v/>
      </c>
      <c r="M194" s="107" t="str">
        <f aca="false">IF(OR(K194="",L194=""),"",ABS(K194)+ABS(L194))</f>
        <v/>
      </c>
    </row>
    <row r="195" customFormat="false" ht="17.75" hidden="false" customHeight="true" outlineLevel="0" collapsed="false">
      <c r="C195" s="2" t="n">
        <f aca="false">sol_ecl!$C$195</f>
        <v>13</v>
      </c>
      <c r="D195" s="2" t="n">
        <f aca="false">sol_ecl!$D$195</f>
        <v>7</v>
      </c>
      <c r="E195" s="102" t="n">
        <f aca="false">sol_ecl!$E$195</f>
        <v>194</v>
      </c>
      <c r="F195" s="6" t="n">
        <f aca="false">calc!$AN$195</f>
        <v>110.865774702479</v>
      </c>
      <c r="G195" s="16" t="n">
        <f aca="false">sol_ecl!$H$195</f>
        <v>279.533657492514</v>
      </c>
      <c r="H195" s="6" t="n">
        <f aca="false">calc!$Z$195</f>
        <v>-3.82585789891505</v>
      </c>
      <c r="I195" s="112" t="n">
        <f aca="false">10*H195</f>
        <v>-38.2585789891505</v>
      </c>
      <c r="J195" s="103" t="n">
        <f aca="false">ABS(ABS(F195-G195)-180)</f>
        <v>11.3321172099649</v>
      </c>
      <c r="K195" s="6" t="str">
        <f aca="false">IF(ABS(J195)/11.31&lt;1,J195/11.31,"")</f>
        <v/>
      </c>
      <c r="L195" s="6" t="str">
        <f aca="false">IF(ABS(H195)/1.067&lt;1,H195,"")</f>
        <v/>
      </c>
      <c r="M195" s="107" t="str">
        <f aca="false">IF(OR(K195="",L195=""),"",ABS(K195)+ABS(L195))</f>
        <v/>
      </c>
    </row>
    <row r="196" customFormat="false" ht="17.75" hidden="false" customHeight="true" outlineLevel="0" collapsed="false">
      <c r="C196" s="2" t="n">
        <f aca="false">sol_ecl!$C$196</f>
        <v>14</v>
      </c>
      <c r="D196" s="2" t="n">
        <f aca="false">sol_ecl!$D$196</f>
        <v>7</v>
      </c>
      <c r="E196" s="102" t="n">
        <f aca="false">sol_ecl!$E$196</f>
        <v>195</v>
      </c>
      <c r="F196" s="6" t="n">
        <f aca="false">calc!$AN$196</f>
        <v>111.851422066322</v>
      </c>
      <c r="G196" s="16" t="n">
        <f aca="false">sol_ecl!$H$196</f>
        <v>294.778296661579</v>
      </c>
      <c r="H196" s="6" t="n">
        <f aca="false">calc!$Z$196</f>
        <v>-4.56585993527782</v>
      </c>
      <c r="I196" s="112" t="n">
        <f aca="false">10*H196</f>
        <v>-45.6585993527782</v>
      </c>
      <c r="J196" s="103" t="n">
        <f aca="false">ABS(ABS(F196-G196)-180)</f>
        <v>2.92687459525672</v>
      </c>
      <c r="K196" s="6" t="n">
        <f aca="false">IF(ABS(J196)/11.31&lt;1,J196/11.31,"")</f>
        <v>0.258786436362221</v>
      </c>
      <c r="L196" s="6" t="str">
        <f aca="false">IF(ABS(H196)/1.067&lt;1,H196,"")</f>
        <v/>
      </c>
      <c r="M196" s="107" t="str">
        <f aca="false">IF(OR(K196="",L196=""),"",ABS(K196)+ABS(L196))</f>
        <v/>
      </c>
    </row>
    <row r="197" customFormat="false" ht="17.75" hidden="false" customHeight="true" outlineLevel="0" collapsed="false">
      <c r="C197" s="2" t="n">
        <f aca="false">sol_ecl!$C$197</f>
        <v>15</v>
      </c>
      <c r="D197" s="2" t="n">
        <f aca="false">sol_ecl!$D$197</f>
        <v>7</v>
      </c>
      <c r="E197" s="102" t="n">
        <f aca="false">sol_ecl!$E$197</f>
        <v>196</v>
      </c>
      <c r="F197" s="6" t="n">
        <f aca="false">calc!$AN$197</f>
        <v>112.837069430168</v>
      </c>
      <c r="G197" s="16" t="n">
        <f aca="false">sol_ecl!$H$197</f>
        <v>309.941056366662</v>
      </c>
      <c r="H197" s="6" t="n">
        <f aca="false">calc!$Z$197</f>
        <v>-4.97960741317068</v>
      </c>
      <c r="I197" s="112" t="n">
        <f aca="false">10*H197</f>
        <v>-49.7960741317068</v>
      </c>
      <c r="J197" s="103" t="n">
        <f aca="false">ABS(ABS(F197-G197)-180)</f>
        <v>17.1039869364931</v>
      </c>
      <c r="K197" s="6" t="str">
        <f aca="false">IF(ABS(J197)/11.31&lt;1,J197/11.31,"")</f>
        <v/>
      </c>
      <c r="L197" s="6" t="str">
        <f aca="false">IF(ABS(H197)/1.067&lt;1,H197,"")</f>
        <v/>
      </c>
      <c r="M197" s="107" t="str">
        <f aca="false">IF(OR(K197="",L197=""),"",ABS(K197)+ABS(L197))</f>
        <v/>
      </c>
    </row>
    <row r="198" customFormat="false" ht="17.75" hidden="false" customHeight="true" outlineLevel="0" collapsed="false">
      <c r="C198" s="2" t="n">
        <f aca="false">sol_ecl!$C$198</f>
        <v>16</v>
      </c>
      <c r="D198" s="2" t="n">
        <f aca="false">sol_ecl!$D$198</f>
        <v>7</v>
      </c>
      <c r="E198" s="102" t="n">
        <f aca="false">sol_ecl!$E$198</f>
        <v>197</v>
      </c>
      <c r="F198" s="6" t="n">
        <f aca="false">calc!$AN$198</f>
        <v>113.822716794013</v>
      </c>
      <c r="G198" s="16" t="n">
        <f aca="false">sol_ecl!$H$198</f>
        <v>324.862421809771</v>
      </c>
      <c r="H198" s="6" t="n">
        <f aca="false">calc!$Z$198</f>
        <v>-5.04653495533672</v>
      </c>
      <c r="I198" s="112" t="n">
        <f aca="false">10*H198</f>
        <v>-50.4653495533672</v>
      </c>
      <c r="J198" s="103" t="n">
        <f aca="false">ABS(ABS(F198-G198)-180)</f>
        <v>31.039705015758</v>
      </c>
      <c r="K198" s="6" t="str">
        <f aca="false">IF(ABS(J198)/11.31&lt;1,J198/11.31,"")</f>
        <v/>
      </c>
      <c r="L198" s="6" t="str">
        <f aca="false">IF(ABS(H198)/1.067&lt;1,H198,"")</f>
        <v/>
      </c>
      <c r="M198" s="107" t="str">
        <f aca="false">IF(OR(K198="",L198=""),"",ABS(K198)+ABS(L198))</f>
        <v/>
      </c>
    </row>
    <row r="199" customFormat="false" ht="17.75" hidden="false" customHeight="true" outlineLevel="0" collapsed="false">
      <c r="C199" s="2" t="n">
        <f aca="false">sol_ecl!$C$199</f>
        <v>17</v>
      </c>
      <c r="D199" s="2" t="n">
        <f aca="false">sol_ecl!$D$199</f>
        <v>7</v>
      </c>
      <c r="E199" s="102" t="n">
        <f aca="false">sol_ecl!$E$199</f>
        <v>198</v>
      </c>
      <c r="F199" s="6" t="n">
        <f aca="false">calc!$AN$199</f>
        <v>114.80836415786</v>
      </c>
      <c r="G199" s="16" t="n">
        <f aca="false">sol_ecl!$H$199</f>
        <v>339.412107039498</v>
      </c>
      <c r="H199" s="6" t="n">
        <f aca="false">calc!$Z$199</f>
        <v>-4.78328119021251</v>
      </c>
      <c r="I199" s="112" t="n">
        <f aca="false">10*H199</f>
        <v>-47.8328119021251</v>
      </c>
      <c r="J199" s="103" t="n">
        <f aca="false">ABS(ABS(F199-G199)-180)</f>
        <v>44.6037428816379</v>
      </c>
      <c r="K199" s="6" t="str">
        <f aca="false">IF(ABS(J199)/11.31&lt;1,J199/11.31,"")</f>
        <v/>
      </c>
      <c r="L199" s="6" t="str">
        <f aca="false">IF(ABS(H199)/1.067&lt;1,H199,"")</f>
        <v/>
      </c>
      <c r="M199" s="107" t="str">
        <f aca="false">IF(OR(K199="",L199=""),"",ABS(K199)+ABS(L199))</f>
        <v/>
      </c>
    </row>
    <row r="200" customFormat="false" ht="17.75" hidden="false" customHeight="true" outlineLevel="0" collapsed="false">
      <c r="C200" s="2" t="n">
        <f aca="false">sol_ecl!$C$200</f>
        <v>18</v>
      </c>
      <c r="D200" s="2" t="n">
        <f aca="false">sol_ecl!$D$200</f>
        <v>7</v>
      </c>
      <c r="E200" s="102" t="n">
        <f aca="false">sol_ecl!$E$200</f>
        <v>199</v>
      </c>
      <c r="F200" s="6" t="n">
        <f aca="false">calc!$AN$200</f>
        <v>115.794011521704</v>
      </c>
      <c r="G200" s="16" t="n">
        <f aca="false">sol_ecl!$H$200</f>
        <v>353.504644981449</v>
      </c>
      <c r="H200" s="6" t="n">
        <f aca="false">calc!$Z$200</f>
        <v>-4.23493171163314</v>
      </c>
      <c r="I200" s="112" t="n">
        <f aca="false">10*H200</f>
        <v>-42.3493171163314</v>
      </c>
      <c r="J200" s="103" t="n">
        <f aca="false">ABS(ABS(F200-G200)-180)</f>
        <v>57.7106334597451</v>
      </c>
      <c r="K200" s="6" t="str">
        <f aca="false">IF(ABS(J200)/11.31&lt;1,J200/11.31,"")</f>
        <v/>
      </c>
      <c r="L200" s="6" t="str">
        <f aca="false">IF(ABS(H200)/1.067&lt;1,H200,"")</f>
        <v/>
      </c>
      <c r="M200" s="107" t="str">
        <f aca="false">IF(OR(K200="",L200=""),"",ABS(K200)+ABS(L200))</f>
        <v/>
      </c>
    </row>
    <row r="201" customFormat="false" ht="17.75" hidden="false" customHeight="true" outlineLevel="0" collapsed="false">
      <c r="C201" s="2" t="n">
        <f aca="false">sol_ecl!$C$201</f>
        <v>19</v>
      </c>
      <c r="D201" s="2" t="n">
        <f aca="false">sol_ecl!$D$201</f>
        <v>7</v>
      </c>
      <c r="E201" s="102" t="n">
        <f aca="false">sol_ecl!$E$201</f>
        <v>200</v>
      </c>
      <c r="F201" s="6" t="n">
        <f aca="false">calc!$AN$201</f>
        <v>116.779658885551</v>
      </c>
      <c r="G201" s="16" t="n">
        <f aca="false">sol_ecl!$H$201</f>
        <v>7.10604553751131</v>
      </c>
      <c r="H201" s="6" t="n">
        <f aca="false">calc!$Z$201</f>
        <v>-3.46225981202724</v>
      </c>
      <c r="I201" s="112" t="n">
        <f aca="false">10*H201</f>
        <v>-34.6225981202724</v>
      </c>
      <c r="J201" s="103" t="n">
        <f aca="false">ABS(ABS(F201-G201)-180)</f>
        <v>70.3263866519605</v>
      </c>
      <c r="K201" s="6" t="str">
        <f aca="false">IF(ABS(J201)/11.31&lt;1,J201/11.31,"")</f>
        <v/>
      </c>
      <c r="L201" s="6" t="str">
        <f aca="false">IF(ABS(H201)/1.067&lt;1,H201,"")</f>
        <v/>
      </c>
      <c r="M201" s="107" t="str">
        <f aca="false">IF(OR(K201="",L201=""),"",ABS(K201)+ABS(L201))</f>
        <v/>
      </c>
    </row>
    <row r="202" customFormat="false" ht="17.75" hidden="false" customHeight="true" outlineLevel="0" collapsed="false">
      <c r="C202" s="2" t="n">
        <f aca="false">sol_ecl!$C$202</f>
        <v>20</v>
      </c>
      <c r="D202" s="2" t="n">
        <f aca="false">sol_ecl!$D$202</f>
        <v>7</v>
      </c>
      <c r="E202" s="102" t="n">
        <f aca="false">sol_ecl!$E$202</f>
        <v>201</v>
      </c>
      <c r="F202" s="6" t="n">
        <f aca="false">calc!$AN$202</f>
        <v>117.765306249397</v>
      </c>
      <c r="G202" s="16" t="n">
        <f aca="false">sol_ecl!$H$202</f>
        <v>20.2311210868523</v>
      </c>
      <c r="H202" s="6" t="n">
        <f aca="false">calc!$Z$202</f>
        <v>-2.52996881941738</v>
      </c>
      <c r="I202" s="112" t="n">
        <f aca="false">10*H202</f>
        <v>-25.2996881941738</v>
      </c>
      <c r="J202" s="103" t="n">
        <f aca="false">ABS(ABS(F202-G202)-180)</f>
        <v>82.465814837455</v>
      </c>
      <c r="K202" s="6" t="str">
        <f aca="false">IF(ABS(J202)/11.31&lt;1,J202/11.31,"")</f>
        <v/>
      </c>
      <c r="L202" s="6" t="str">
        <f aca="false">IF(ABS(H202)/1.067&lt;1,H202,"")</f>
        <v/>
      </c>
      <c r="M202" s="107" t="str">
        <f aca="false">IF(OR(K202="",L202=""),"",ABS(K202)+ABS(L202))</f>
        <v/>
      </c>
    </row>
    <row r="203" customFormat="false" ht="17.75" hidden="false" customHeight="true" outlineLevel="0" collapsed="false">
      <c r="C203" s="2" t="n">
        <f aca="false">sol_ecl!$C$203</f>
        <v>21</v>
      </c>
      <c r="D203" s="2" t="n">
        <f aca="false">sol_ecl!$D$203</f>
        <v>7</v>
      </c>
      <c r="E203" s="102" t="n">
        <f aca="false">sol_ecl!$E$203</f>
        <v>202</v>
      </c>
      <c r="F203" s="6" t="n">
        <f aca="false">calc!$AN$203</f>
        <v>118.750953613246</v>
      </c>
      <c r="G203" s="16" t="n">
        <f aca="false">sol_ecl!$H$203</f>
        <v>32.9333939744709</v>
      </c>
      <c r="H203" s="6" t="n">
        <f aca="false">calc!$Z$203</f>
        <v>-1.49902524287925</v>
      </c>
      <c r="I203" s="112" t="n">
        <f aca="false">10*H203</f>
        <v>-14.9902524287925</v>
      </c>
      <c r="J203" s="103" t="n">
        <f aca="false">ABS(ABS(F203-G203)-180)</f>
        <v>94.1824403612253</v>
      </c>
      <c r="K203" s="6" t="str">
        <f aca="false">IF(ABS(J203)/11.31&lt;1,J203/11.31,"")</f>
        <v/>
      </c>
      <c r="L203" s="6" t="str">
        <f aca="false">IF(ABS(H203)/1.067&lt;1,H203,"")</f>
        <v/>
      </c>
      <c r="M203" s="107" t="str">
        <f aca="false">IF(OR(K203="",L203=""),"",ABS(K203)+ABS(L203))</f>
        <v/>
      </c>
    </row>
    <row r="204" customFormat="false" ht="17.75" hidden="false" customHeight="true" outlineLevel="0" collapsed="false">
      <c r="C204" s="2" t="n">
        <f aca="false">sol_ecl!$C$204</f>
        <v>22</v>
      </c>
      <c r="D204" s="2" t="n">
        <f aca="false">sol_ecl!$D$204</f>
        <v>7</v>
      </c>
      <c r="E204" s="102" t="n">
        <f aca="false">sol_ecl!$E$204</f>
        <v>203</v>
      </c>
      <c r="F204" s="6" t="n">
        <f aca="false">calc!$AN$204</f>
        <v>119.736600977092</v>
      </c>
      <c r="G204" s="16" t="n">
        <f aca="false">sol_ecl!$H$204</f>
        <v>45.2909877182798</v>
      </c>
      <c r="H204" s="6" t="n">
        <f aca="false">calc!$Z$204</f>
        <v>-0.423553114483459</v>
      </c>
      <c r="I204" s="112" t="n">
        <f aca="false">10*H204</f>
        <v>-4.23553114483459</v>
      </c>
      <c r="J204" s="103" t="n">
        <f aca="false">ABS(ABS(F204-G204)-180)</f>
        <v>105.554386741188</v>
      </c>
      <c r="K204" s="6" t="str">
        <f aca="false">IF(ABS(J204)/11.31&lt;1,J204/11.31,"")</f>
        <v/>
      </c>
      <c r="L204" s="6" t="n">
        <f aca="false">IF(ABS(H204)/1.067&lt;1,H204,"")</f>
        <v>-0.423553114483459</v>
      </c>
      <c r="M204" s="107" t="str">
        <f aca="false">IF(OR(K204="",L204=""),"",ABS(K204)+ABS(L204))</f>
        <v/>
      </c>
    </row>
    <row r="205" customFormat="false" ht="17.75" hidden="false" customHeight="true" outlineLevel="0" collapsed="false">
      <c r="C205" s="2" t="n">
        <f aca="false">sol_ecl!$C$205</f>
        <v>23</v>
      </c>
      <c r="D205" s="2" t="n">
        <f aca="false">sol_ecl!$D$205</f>
        <v>7</v>
      </c>
      <c r="E205" s="102" t="n">
        <f aca="false">sol_ecl!$E$205</f>
        <v>204</v>
      </c>
      <c r="F205" s="6" t="n">
        <f aca="false">calc!$AN$205</f>
        <v>120.722248340942</v>
      </c>
      <c r="G205" s="16" t="n">
        <f aca="false">sol_ecl!$H$205</f>
        <v>57.3922046562681</v>
      </c>
      <c r="H205" s="6" t="n">
        <f aca="false">calc!$Z$205</f>
        <v>0.649053381986852</v>
      </c>
      <c r="I205" s="112" t="n">
        <f aca="false">10*H205</f>
        <v>6.49053381986852</v>
      </c>
      <c r="J205" s="103" t="n">
        <f aca="false">ABS(ABS(F205-G205)-180)</f>
        <v>116.669956315326</v>
      </c>
      <c r="K205" s="6" t="str">
        <f aca="false">IF(ABS(J205)/11.31&lt;1,J205/11.31,"")</f>
        <v/>
      </c>
      <c r="L205" s="6" t="n">
        <f aca="false">IF(ABS(H205)/1.067&lt;1,H205,"")</f>
        <v>0.649053381986852</v>
      </c>
      <c r="M205" s="107" t="str">
        <f aca="false">IF(OR(K205="",L205=""),"",ABS(K205)+ABS(L205))</f>
        <v/>
      </c>
    </row>
    <row r="206" customFormat="false" ht="17.75" hidden="false" customHeight="true" outlineLevel="0" collapsed="false">
      <c r="C206" s="2" t="n">
        <f aca="false">sol_ecl!$C$206</f>
        <v>24</v>
      </c>
      <c r="D206" s="2" t="n">
        <f aca="false">sol_ecl!$D$206</f>
        <v>7</v>
      </c>
      <c r="E206" s="102" t="n">
        <f aca="false">sol_ecl!$E$206</f>
        <v>205</v>
      </c>
      <c r="F206" s="6" t="n">
        <f aca="false">calc!$AN$206</f>
        <v>121.707895704791</v>
      </c>
      <c r="G206" s="16" t="n">
        <f aca="false">sol_ecl!$H$206</f>
        <v>69.3236940631068</v>
      </c>
      <c r="H206" s="6" t="n">
        <f aca="false">calc!$Z$206</f>
        <v>1.67666174276622</v>
      </c>
      <c r="I206" s="112" t="n">
        <f aca="false">10*H206</f>
        <v>16.7666174276622</v>
      </c>
      <c r="J206" s="103" t="n">
        <f aca="false">ABS(ABS(F206-G206)-180)</f>
        <v>127.615798358316</v>
      </c>
      <c r="K206" s="6" t="str">
        <f aca="false">IF(ABS(J206)/11.31&lt;1,J206/11.31,"")</f>
        <v/>
      </c>
      <c r="L206" s="6" t="str">
        <f aca="false">IF(ABS(H206)/1.067&lt;1,H206,"")</f>
        <v/>
      </c>
      <c r="M206" s="107" t="str">
        <f aca="false">IF(OR(K206="",L206=""),"",ABS(K206)+ABS(L206))</f>
        <v/>
      </c>
    </row>
    <row r="207" customFormat="false" ht="17.75" hidden="false" customHeight="true" outlineLevel="0" collapsed="false">
      <c r="C207" s="2" t="n">
        <f aca="false">sol_ecl!$C$207</f>
        <v>25</v>
      </c>
      <c r="D207" s="2" t="n">
        <f aca="false">sol_ecl!$D$207</f>
        <v>7</v>
      </c>
      <c r="E207" s="102" t="n">
        <f aca="false">sol_ecl!$E$207</f>
        <v>206</v>
      </c>
      <c r="F207" s="6" t="n">
        <f aca="false">calc!$AN$207</f>
        <v>122.693543068641</v>
      </c>
      <c r="G207" s="16" t="n">
        <f aca="false">sol_ecl!$H$207</f>
        <v>81.1626740731639</v>
      </c>
      <c r="H207" s="6" t="n">
        <f aca="false">calc!$Z$207</f>
        <v>2.62100882975265</v>
      </c>
      <c r="I207" s="112" t="n">
        <f aca="false">10*H207</f>
        <v>26.2100882975265</v>
      </c>
      <c r="J207" s="103" t="n">
        <f aca="false">ABS(ABS(F207-G207)-180)</f>
        <v>138.469131004523</v>
      </c>
      <c r="K207" s="6" t="str">
        <f aca="false">IF(ABS(J207)/11.31&lt;1,J207/11.31,"")</f>
        <v/>
      </c>
      <c r="L207" s="6" t="str">
        <f aca="false">IF(ABS(H207)/1.067&lt;1,H207,"")</f>
        <v/>
      </c>
      <c r="M207" s="107" t="str">
        <f aca="false">IF(OR(K207="",L207=""),"",ABS(K207)+ABS(L207))</f>
        <v/>
      </c>
    </row>
    <row r="208" customFormat="false" ht="17.75" hidden="false" customHeight="true" outlineLevel="0" collapsed="false">
      <c r="C208" s="2" t="n">
        <f aca="false">sol_ecl!$C$208</f>
        <v>26</v>
      </c>
      <c r="D208" s="2" t="n">
        <f aca="false">sol_ecl!$D$208</f>
        <v>7</v>
      </c>
      <c r="E208" s="102" t="n">
        <f aca="false">sol_ecl!$E$208</f>
        <v>207</v>
      </c>
      <c r="F208" s="6" t="n">
        <f aca="false">calc!$AN$208</f>
        <v>123.679190432489</v>
      </c>
      <c r="G208" s="16" t="n">
        <f aca="false">sol_ecl!$H$208</f>
        <v>92.9732063042147</v>
      </c>
      <c r="H208" s="6" t="n">
        <f aca="false">calc!$Z$208</f>
        <v>3.44704870822265</v>
      </c>
      <c r="I208" s="112" t="n">
        <f aca="false">10*H208</f>
        <v>34.4704870822265</v>
      </c>
      <c r="J208" s="103" t="n">
        <f aca="false">ABS(ABS(F208-G208)-180)</f>
        <v>149.294015871726</v>
      </c>
      <c r="K208" s="6" t="str">
        <f aca="false">IF(ABS(J208)/11.31&lt;1,J208/11.31,"")</f>
        <v/>
      </c>
      <c r="L208" s="6" t="str">
        <f aca="false">IF(ABS(H208)/1.067&lt;1,H208,"")</f>
        <v/>
      </c>
      <c r="M208" s="107" t="str">
        <f aca="false">IF(OR(K208="",L208=""),"",ABS(K208)+ABS(L208))</f>
        <v/>
      </c>
    </row>
    <row r="209" customFormat="false" ht="17.75" hidden="false" customHeight="true" outlineLevel="0" collapsed="false">
      <c r="C209" s="2" t="n">
        <f aca="false">sol_ecl!$C$209</f>
        <v>27</v>
      </c>
      <c r="D209" s="2" t="n">
        <f aca="false">sol_ecl!$D$209</f>
        <v>7</v>
      </c>
      <c r="E209" s="102" t="n">
        <f aca="false">sol_ecl!$E$209</f>
        <v>208</v>
      </c>
      <c r="F209" s="6" t="n">
        <f aca="false">calc!$AN$209</f>
        <v>124.664837796343</v>
      </c>
      <c r="G209" s="16" t="n">
        <f aca="false">sol_ecl!$H$209</f>
        <v>104.805555609817</v>
      </c>
      <c r="H209" s="6" t="n">
        <f aca="false">calc!$Z$209</f>
        <v>4.12308275610323</v>
      </c>
      <c r="I209" s="112" t="n">
        <f aca="false">10*H209</f>
        <v>41.2308275610323</v>
      </c>
      <c r="J209" s="103" t="n">
        <f aca="false">ABS(ABS(F209-G209)-180)</f>
        <v>160.140717813474</v>
      </c>
      <c r="K209" s="6" t="str">
        <f aca="false">IF(ABS(J209)/11.31&lt;1,J209/11.31,"")</f>
        <v/>
      </c>
      <c r="L209" s="6" t="str">
        <f aca="false">IF(ABS(H209)/1.067&lt;1,H209,"")</f>
        <v/>
      </c>
      <c r="M209" s="107" t="str">
        <f aca="false">IF(OR(K209="",L209=""),"",ABS(K209)+ABS(L209))</f>
        <v/>
      </c>
    </row>
    <row r="210" customFormat="false" ht="17.75" hidden="false" customHeight="true" outlineLevel="0" collapsed="false">
      <c r="C210" s="2" t="n">
        <f aca="false">sol_ecl!$C$210</f>
        <v>28</v>
      </c>
      <c r="D210" s="2" t="n">
        <f aca="false">sol_ecl!$D$210</f>
        <v>7</v>
      </c>
      <c r="E210" s="102" t="n">
        <f aca="false">sol_ecl!$E$210</f>
        <v>209</v>
      </c>
      <c r="F210" s="6" t="n">
        <f aca="false">calc!$AN$210</f>
        <v>125.650485160191</v>
      </c>
      <c r="G210" s="16" t="n">
        <f aca="false">sol_ecl!$H$210</f>
        <v>116.69742685316</v>
      </c>
      <c r="H210" s="6" t="n">
        <f aca="false">calc!$Z$210</f>
        <v>4.62143163642959</v>
      </c>
      <c r="I210" s="112" t="n">
        <f aca="false">10*H210</f>
        <v>46.2143163642959</v>
      </c>
      <c r="J210" s="103" t="n">
        <f aca="false">ABS(ABS(F210-G210)-180)</f>
        <v>171.046941692969</v>
      </c>
      <c r="K210" s="6" t="str">
        <f aca="false">IF(ABS(J210)/11.31&lt;1,J210/11.31,"")</f>
        <v/>
      </c>
      <c r="L210" s="6" t="str">
        <f aca="false">IF(ABS(H210)/1.067&lt;1,H210,"")</f>
        <v/>
      </c>
      <c r="M210" s="107" t="str">
        <f aca="false">IF(OR(K210="",L210=""),"",ABS(K210)+ABS(L210))</f>
        <v/>
      </c>
    </row>
    <row r="211" customFormat="false" ht="17.75" hidden="false" customHeight="true" outlineLevel="0" collapsed="false">
      <c r="C211" s="2" t="n">
        <f aca="false">sol_ecl!$C$211</f>
        <v>29</v>
      </c>
      <c r="D211" s="2" t="n">
        <f aca="false">sol_ecl!$D$211</f>
        <v>7</v>
      </c>
      <c r="E211" s="102" t="n">
        <f aca="false">sol_ecl!$E$211</f>
        <v>210</v>
      </c>
      <c r="F211" s="6" t="n">
        <f aca="false">calc!$AN$211</f>
        <v>126.636132524043</v>
      </c>
      <c r="G211" s="16" t="n">
        <f aca="false">sol_ecl!$H$211</f>
        <v>128.676230517595</v>
      </c>
      <c r="H211" s="6" t="n">
        <f aca="false">calc!$Z$211</f>
        <v>4.919403977088</v>
      </c>
      <c r="I211" s="112" t="n">
        <f aca="false">10*H211</f>
        <v>49.19403977088</v>
      </c>
      <c r="J211" s="103" t="n">
        <f aca="false">ABS(ABS(F211-G211)-180)</f>
        <v>177.959902006448</v>
      </c>
      <c r="K211" s="6" t="str">
        <f aca="false">IF(ABS(J211)/11.31&lt;1,J211/11.31,"")</f>
        <v/>
      </c>
      <c r="L211" s="6" t="str">
        <f aca="false">IF(ABS(H211)/1.067&lt;1,H211,"")</f>
        <v/>
      </c>
      <c r="M211" s="107" t="str">
        <f aca="false">IF(OR(K211="",L211=""),"",ABS(K211)+ABS(L211))</f>
        <v/>
      </c>
    </row>
    <row r="212" customFormat="false" ht="17.75" hidden="false" customHeight="true" outlineLevel="0" collapsed="false">
      <c r="C212" s="2" t="n">
        <f aca="false">sol_ecl!$C$212</f>
        <v>30</v>
      </c>
      <c r="D212" s="2" t="n">
        <f aca="false">sol_ecl!$D$212</f>
        <v>7</v>
      </c>
      <c r="E212" s="102" t="n">
        <f aca="false">sol_ecl!$E$212</f>
        <v>211</v>
      </c>
      <c r="F212" s="6" t="n">
        <f aca="false">calc!$AN$212</f>
        <v>127.621779887895</v>
      </c>
      <c r="G212" s="16" t="n">
        <f aca="false">sol_ecl!$H$212</f>
        <v>140.762106361377</v>
      </c>
      <c r="H212" s="6" t="n">
        <f aca="false">calc!$Z$212</f>
        <v>5.00040429176415</v>
      </c>
      <c r="I212" s="112" t="n">
        <f aca="false">10*H212</f>
        <v>50.0040429176415</v>
      </c>
      <c r="J212" s="103" t="n">
        <f aca="false">ABS(ABS(F212-G212)-180)</f>
        <v>166.859673526518</v>
      </c>
      <c r="K212" s="6" t="str">
        <f aca="false">IF(ABS(J212)/11.31&lt;1,J212/11.31,"")</f>
        <v/>
      </c>
      <c r="L212" s="6" t="str">
        <f aca="false">IF(ABS(H212)/1.067&lt;1,H212,"")</f>
        <v/>
      </c>
      <c r="M212" s="107" t="str">
        <f aca="false">IF(OR(K212="",L212=""),"",ABS(K212)+ABS(L212))</f>
        <v/>
      </c>
    </row>
    <row r="213" customFormat="false" ht="17.75" hidden="false" customHeight="true" outlineLevel="0" collapsed="false">
      <c r="C213" s="2" t="n">
        <f aca="false">sol_ecl!$C$213</f>
        <v>31</v>
      </c>
      <c r="D213" s="2" t="n">
        <f aca="false">sol_ecl!$D$213</f>
        <v>7</v>
      </c>
      <c r="E213" s="102" t="n">
        <f aca="false">sol_ecl!$E$213</f>
        <v>212</v>
      </c>
      <c r="F213" s="6" t="n">
        <f aca="false">calc!$AN$213</f>
        <v>128.607427251747</v>
      </c>
      <c r="G213" s="16" t="n">
        <f aca="false">sol_ecl!$H$213</f>
        <v>152.971792076556</v>
      </c>
      <c r="H213" s="6" t="n">
        <f aca="false">calc!$Z$213</f>
        <v>4.85505713131028</v>
      </c>
      <c r="I213" s="112" t="n">
        <f aca="false">10*H213</f>
        <v>48.5505713131028</v>
      </c>
      <c r="J213" s="103" t="n">
        <f aca="false">ABS(ABS(F213-G213)-180)</f>
        <v>155.635635175191</v>
      </c>
      <c r="K213" s="6" t="str">
        <f aca="false">IF(ABS(J213)/11.31&lt;1,J213/11.31,"")</f>
        <v/>
      </c>
      <c r="L213" s="6" t="str">
        <f aca="false">IF(ABS(H213)/1.067&lt;1,H213,"")</f>
        <v/>
      </c>
      <c r="M213" s="107" t="str">
        <f aca="false">IF(OR(K213="",L213=""),"",ABS(K213)+ABS(L213))</f>
        <v/>
      </c>
    </row>
    <row r="214" customFormat="false" ht="17.75" hidden="false" customHeight="true" outlineLevel="0" collapsed="false">
      <c r="C214" s="2" t="n">
        <f aca="false">sol_ecl!$C$214</f>
        <v>1</v>
      </c>
      <c r="D214" s="2" t="n">
        <f aca="false">sol_ecl!$D$214</f>
        <v>8</v>
      </c>
      <c r="E214" s="102" t="n">
        <f aca="false">sol_ecl!$E$214</f>
        <v>213</v>
      </c>
      <c r="F214" s="6" t="n">
        <f aca="false">calc!$AN$214</f>
        <v>129.593074615599</v>
      </c>
      <c r="G214" s="16" t="n">
        <f aca="false">sol_ecl!$H$214</f>
        <v>165.323289125193</v>
      </c>
      <c r="H214" s="6" t="n">
        <f aca="false">calc!$Z$214</f>
        <v>4.48220047307954</v>
      </c>
      <c r="I214" s="112" t="n">
        <f aca="false">10*H214</f>
        <v>44.8220047307954</v>
      </c>
      <c r="J214" s="103" t="n">
        <f aca="false">ABS(ABS(F214-G214)-180)</f>
        <v>144.269785490406</v>
      </c>
      <c r="K214" s="6" t="str">
        <f aca="false">IF(ABS(J214)/11.31&lt;1,J214/11.31,"")</f>
        <v/>
      </c>
      <c r="L214" s="6" t="str">
        <f aca="false">IF(ABS(H214)/1.067&lt;1,H214,"")</f>
        <v/>
      </c>
      <c r="M214" s="107" t="str">
        <f aca="false">IF(OR(K214="",L214=""),"",ABS(K214)+ABS(L214))</f>
        <v/>
      </c>
    </row>
    <row r="215" customFormat="false" ht="17.75" hidden="false" customHeight="true" outlineLevel="0" collapsed="false">
      <c r="C215" s="2" t="n">
        <f aca="false">sol_ecl!$C$215</f>
        <v>2</v>
      </c>
      <c r="D215" s="2" t="n">
        <f aca="false">sol_ecl!$D$215</f>
        <v>8</v>
      </c>
      <c r="E215" s="102" t="n">
        <f aca="false">sol_ecl!$E$215</f>
        <v>214</v>
      </c>
      <c r="F215" s="6" t="n">
        <f aca="false">calc!$AN$215</f>
        <v>130.578721979451</v>
      </c>
      <c r="G215" s="16" t="n">
        <f aca="false">sol_ecl!$H$215</f>
        <v>177.840677915366</v>
      </c>
      <c r="H215" s="6" t="n">
        <f aca="false">calc!$Z$215</f>
        <v>3.88962708447026</v>
      </c>
      <c r="I215" s="112" t="n">
        <f aca="false">10*H215</f>
        <v>38.8962708447026</v>
      </c>
      <c r="J215" s="103" t="n">
        <f aca="false">ABS(ABS(F215-G215)-180)</f>
        <v>132.738044064085</v>
      </c>
      <c r="K215" s="6" t="str">
        <f aca="false">IF(ABS(J215)/11.31&lt;1,J215/11.31,"")</f>
        <v/>
      </c>
      <c r="L215" s="6" t="str">
        <f aca="false">IF(ABS(H215)/1.067&lt;1,H215,"")</f>
        <v/>
      </c>
      <c r="M215" s="107" t="str">
        <f aca="false">IF(OR(K215="",L215=""),"",ABS(K215)+ABS(L215))</f>
        <v/>
      </c>
    </row>
    <row r="216" customFormat="false" ht="17.75" hidden="false" customHeight="true" outlineLevel="0" collapsed="false">
      <c r="C216" s="2" t="n">
        <f aca="false">sol_ecl!$C$216</f>
        <v>3</v>
      </c>
      <c r="D216" s="2" t="n">
        <f aca="false">sol_ecl!$D$216</f>
        <v>8</v>
      </c>
      <c r="E216" s="102" t="n">
        <f aca="false">sol_ecl!$E$216</f>
        <v>215</v>
      </c>
      <c r="F216" s="6" t="n">
        <f aca="false">calc!$AN$216</f>
        <v>131.564369343305</v>
      </c>
      <c r="G216" s="16" t="n">
        <f aca="false">sol_ecl!$H$216</f>
        <v>190.557689935079</v>
      </c>
      <c r="H216" s="6" t="n">
        <f aca="false">calc!$Z$216</f>
        <v>3.09461554838462</v>
      </c>
      <c r="I216" s="112" t="n">
        <f aca="false">10*H216</f>
        <v>30.9461554838462</v>
      </c>
      <c r="J216" s="103" t="n">
        <f aca="false">ABS(ABS(F216-G216)-180)</f>
        <v>121.006679408225</v>
      </c>
      <c r="K216" s="6" t="str">
        <f aca="false">IF(ABS(J216)/11.31&lt;1,J216/11.31,"")</f>
        <v/>
      </c>
      <c r="L216" s="6" t="str">
        <f aca="false">IF(ABS(H216)/1.067&lt;1,H216,"")</f>
        <v/>
      </c>
      <c r="M216" s="107" t="str">
        <f aca="false">IF(OR(K216="",L216=""),"",ABS(K216)+ABS(L216))</f>
        <v/>
      </c>
    </row>
    <row r="217" customFormat="false" ht="17.75" hidden="false" customHeight="true" outlineLevel="0" collapsed="false">
      <c r="C217" s="2" t="n">
        <f aca="false">sol_ecl!$C$217</f>
        <v>4</v>
      </c>
      <c r="D217" s="2" t="n">
        <f aca="false">sol_ecl!$D$217</f>
        <v>8</v>
      </c>
      <c r="E217" s="102" t="n">
        <f aca="false">sol_ecl!$E$217</f>
        <v>216</v>
      </c>
      <c r="F217" s="6" t="n">
        <f aca="false">calc!$AN$217</f>
        <v>132.55001670716</v>
      </c>
      <c r="G217" s="16" t="n">
        <f aca="false">sol_ecl!$H$217</f>
        <v>203.51822188362</v>
      </c>
      <c r="H217" s="6" t="n">
        <f aca="false">calc!$Z$217</f>
        <v>2.12452660753731</v>
      </c>
      <c r="I217" s="112" t="n">
        <f aca="false">10*H217</f>
        <v>21.2452660753731</v>
      </c>
      <c r="J217" s="103" t="n">
        <f aca="false">ABS(ABS(F217-G217)-180)</f>
        <v>109.031794823541</v>
      </c>
      <c r="K217" s="6" t="str">
        <f aca="false">IF(ABS(J217)/11.31&lt;1,J217/11.31,"")</f>
        <v/>
      </c>
      <c r="L217" s="6" t="str">
        <f aca="false">IF(ABS(H217)/1.067&lt;1,H217,"")</f>
        <v/>
      </c>
      <c r="M217" s="107" t="str">
        <f aca="false">IF(OR(K217="",L217=""),"",ABS(K217)+ABS(L217))</f>
        <v/>
      </c>
    </row>
    <row r="218" customFormat="false" ht="17.75" hidden="false" customHeight="true" outlineLevel="0" collapsed="false">
      <c r="C218" s="2" t="n">
        <f aca="false">sol_ecl!$C$218</f>
        <v>5</v>
      </c>
      <c r="D218" s="2" t="n">
        <f aca="false">sol_ecl!$D$218</f>
        <v>8</v>
      </c>
      <c r="E218" s="102" t="n">
        <f aca="false">sol_ecl!$E$218</f>
        <v>217</v>
      </c>
      <c r="F218" s="6" t="n">
        <f aca="false">calc!$AN$218</f>
        <v>133.535664071012</v>
      </c>
      <c r="G218" s="16" t="n">
        <f aca="false">sol_ecl!$H$218</f>
        <v>216.772264095612</v>
      </c>
      <c r="H218" s="6" t="n">
        <f aca="false">calc!$Z$218</f>
        <v>1.01781415119021</v>
      </c>
      <c r="I218" s="112" t="n">
        <f aca="false">10*H218</f>
        <v>10.1781415119021</v>
      </c>
      <c r="J218" s="103" t="n">
        <f aca="false">ABS(ABS(F218-G218)-180)</f>
        <v>96.7633999754006</v>
      </c>
      <c r="K218" s="6" t="str">
        <f aca="false">IF(ABS(J218)/11.31&lt;1,J218/11.31,"")</f>
        <v/>
      </c>
      <c r="L218" s="6" t="n">
        <f aca="false">IF(ABS(H218)/1.067&lt;1,H218,"")</f>
        <v>1.01781415119021</v>
      </c>
      <c r="M218" s="107" t="str">
        <f aca="false">IF(OR(K218="",L218=""),"",ABS(K218)+ABS(L218))</f>
        <v/>
      </c>
    </row>
    <row r="219" customFormat="false" ht="17.75" hidden="false" customHeight="true" outlineLevel="0" collapsed="false">
      <c r="C219" s="2" t="n">
        <f aca="false">sol_ecl!$C$219</f>
        <v>6</v>
      </c>
      <c r="D219" s="2" t="n">
        <f aca="false">sol_ecl!$D$219</f>
        <v>8</v>
      </c>
      <c r="E219" s="102" t="n">
        <f aca="false">sol_ecl!$E$219</f>
        <v>218</v>
      </c>
      <c r="F219" s="6" t="n">
        <f aca="false">calc!$AN$219</f>
        <v>134.521311434868</v>
      </c>
      <c r="G219" s="16" t="n">
        <f aca="false">sol_ecl!$H$219</f>
        <v>230.366819369016</v>
      </c>
      <c r="H219" s="6" t="n">
        <f aca="false">calc!$Z$219</f>
        <v>-0.174534470616219</v>
      </c>
      <c r="I219" s="112" t="n">
        <f aca="false">10*H219</f>
        <v>-1.74534470616219</v>
      </c>
      <c r="J219" s="103" t="n">
        <f aca="false">ABS(ABS(F219-G219)-180)</f>
        <v>84.1544920658522</v>
      </c>
      <c r="K219" s="6" t="str">
        <f aca="false">IF(ABS(J219)/11.31&lt;1,J219/11.31,"")</f>
        <v/>
      </c>
      <c r="L219" s="6" t="n">
        <f aca="false">IF(ABS(H219)/1.067&lt;1,H219,"")</f>
        <v>-0.174534470616219</v>
      </c>
      <c r="M219" s="107" t="str">
        <f aca="false">IF(OR(K219="",L219=""),"",ABS(K219)+ABS(L219))</f>
        <v/>
      </c>
    </row>
    <row r="220" customFormat="false" ht="17.75" hidden="false" customHeight="true" outlineLevel="0" collapsed="false">
      <c r="C220" s="2" t="n">
        <f aca="false">sol_ecl!$C$220</f>
        <v>7</v>
      </c>
      <c r="D220" s="2" t="n">
        <f aca="false">sol_ecl!$D$220</f>
        <v>8</v>
      </c>
      <c r="E220" s="102" t="n">
        <f aca="false">sol_ecl!$E$220</f>
        <v>219</v>
      </c>
      <c r="F220" s="6" t="n">
        <f aca="false">calc!$AN$220</f>
        <v>135.506958798724</v>
      </c>
      <c r="G220" s="16" t="n">
        <f aca="false">sol_ecl!$H$220</f>
        <v>244.333045439623</v>
      </c>
      <c r="H220" s="6" t="n">
        <f aca="false">calc!$Z$220</f>
        <v>-1.38789235131864</v>
      </c>
      <c r="I220" s="112" t="n">
        <f aca="false">10*H220</f>
        <v>-13.8789235131864</v>
      </c>
      <c r="J220" s="103" t="n">
        <f aca="false">ABS(ABS(F220-G220)-180)</f>
        <v>71.1739133591006</v>
      </c>
      <c r="K220" s="6" t="str">
        <f aca="false">IF(ABS(J220)/11.31&lt;1,J220/11.31,"")</f>
        <v/>
      </c>
      <c r="L220" s="6" t="str">
        <f aca="false">IF(ABS(H220)/1.067&lt;1,H220,"")</f>
        <v/>
      </c>
      <c r="M220" s="107" t="str">
        <f aca="false">IF(OR(K220="",L220=""),"",ABS(K220)+ABS(L220))</f>
        <v/>
      </c>
    </row>
    <row r="221" customFormat="false" ht="17.75" hidden="false" customHeight="true" outlineLevel="0" collapsed="false">
      <c r="C221" s="2" t="n">
        <f aca="false">sol_ecl!$C$221</f>
        <v>8</v>
      </c>
      <c r="D221" s="2" t="n">
        <f aca="false">sol_ecl!$D$221</f>
        <v>8</v>
      </c>
      <c r="E221" s="102" t="n">
        <f aca="false">sol_ecl!$E$221</f>
        <v>220</v>
      </c>
      <c r="F221" s="6" t="n">
        <f aca="false">calc!$AN$221</f>
        <v>136.492606162577</v>
      </c>
      <c r="G221" s="16" t="n">
        <f aca="false">sol_ecl!$H$221</f>
        <v>258.67250166201</v>
      </c>
      <c r="H221" s="6" t="n">
        <f aca="false">calc!$Z$221</f>
        <v>-2.54486210078593</v>
      </c>
      <c r="I221" s="112" t="n">
        <f aca="false">10*H221</f>
        <v>-25.4486210078593</v>
      </c>
      <c r="J221" s="103" t="n">
        <f aca="false">ABS(ABS(F221-G221)-180)</f>
        <v>57.8201045005676</v>
      </c>
      <c r="K221" s="6" t="str">
        <f aca="false">IF(ABS(J221)/11.31&lt;1,J221/11.31,"")</f>
        <v/>
      </c>
      <c r="L221" s="6" t="str">
        <f aca="false">IF(ABS(H221)/1.067&lt;1,H221,"")</f>
        <v/>
      </c>
      <c r="M221" s="107" t="str">
        <f aca="false">IF(OR(K221="",L221=""),"",ABS(K221)+ABS(L221))</f>
        <v/>
      </c>
    </row>
    <row r="222" customFormat="false" ht="17.75" hidden="false" customHeight="true" outlineLevel="0" collapsed="false">
      <c r="C222" s="2" t="n">
        <f aca="false">sol_ecl!$C$222</f>
        <v>9</v>
      </c>
      <c r="D222" s="2" t="n">
        <f aca="false">sol_ecl!$D$222</f>
        <v>8</v>
      </c>
      <c r="E222" s="102" t="n">
        <f aca="false">sol_ecl!$E$222</f>
        <v>221</v>
      </c>
      <c r="F222" s="6" t="n">
        <f aca="false">calc!$AN$222</f>
        <v>137.478253526433</v>
      </c>
      <c r="G222" s="16" t="n">
        <f aca="false">sol_ecl!$H$222</f>
        <v>273.346362490732</v>
      </c>
      <c r="H222" s="6" t="n">
        <f aca="false">calc!$Z$222</f>
        <v>-3.56005255331553</v>
      </c>
      <c r="I222" s="112" t="n">
        <f aca="false">10*H222</f>
        <v>-35.6005255331553</v>
      </c>
      <c r="J222" s="103" t="n">
        <f aca="false">ABS(ABS(F222-G222)-180)</f>
        <v>44.1318910357014</v>
      </c>
      <c r="K222" s="6" t="str">
        <f aca="false">IF(ABS(J222)/11.31&lt;1,J222/11.31,"")</f>
        <v/>
      </c>
      <c r="L222" s="6" t="str">
        <f aca="false">IF(ABS(H222)/1.067&lt;1,H222,"")</f>
        <v/>
      </c>
      <c r="M222" s="107" t="str">
        <f aca="false">IF(OR(K222="",L222=""),"",ABS(K222)+ABS(L222))</f>
        <v/>
      </c>
    </row>
    <row r="223" customFormat="false" ht="17.75" hidden="false" customHeight="true" outlineLevel="0" collapsed="false">
      <c r="C223" s="2" t="n">
        <f aca="false">sol_ecl!$C$223</f>
        <v>10</v>
      </c>
      <c r="D223" s="2" t="n">
        <f aca="false">sol_ecl!$D$223</f>
        <v>8</v>
      </c>
      <c r="E223" s="102" t="n">
        <f aca="false">sol_ecl!$E$223</f>
        <v>222</v>
      </c>
      <c r="F223" s="6" t="n">
        <f aca="false">calc!$AN$223</f>
        <v>138.46390089029</v>
      </c>
      <c r="G223" s="16" t="n">
        <f aca="false">sol_ecl!$H$223</f>
        <v>288.271293441767</v>
      </c>
      <c r="H223" s="6" t="n">
        <f aca="false">calc!$Z$223</f>
        <v>-4.34972788331311</v>
      </c>
      <c r="I223" s="112" t="n">
        <f aca="false">10*H223</f>
        <v>-43.4972788331311</v>
      </c>
      <c r="J223" s="103" t="n">
        <f aca="false">ABS(ABS(F223-G223)-180)</f>
        <v>30.1926074485232</v>
      </c>
      <c r="K223" s="6" t="str">
        <f aca="false">IF(ABS(J223)/11.31&lt;1,J223/11.31,"")</f>
        <v/>
      </c>
      <c r="L223" s="6" t="str">
        <f aca="false">IF(ABS(H223)/1.067&lt;1,H223,"")</f>
        <v/>
      </c>
      <c r="M223" s="107" t="str">
        <f aca="false">IF(OR(K223="",L223=""),"",ABS(K223)+ABS(L223))</f>
        <v/>
      </c>
    </row>
    <row r="224" customFormat="false" ht="17.75" hidden="false" customHeight="true" outlineLevel="0" collapsed="false">
      <c r="C224" s="2" t="n">
        <f aca="false">sol_ecl!$C$224</f>
        <v>11</v>
      </c>
      <c r="D224" s="2" t="n">
        <f aca="false">sol_ecl!$D$224</f>
        <v>8</v>
      </c>
      <c r="E224" s="102" t="n">
        <f aca="false">sol_ecl!$E$224</f>
        <v>223</v>
      </c>
      <c r="F224" s="6" t="n">
        <f aca="false">calc!$AN$224</f>
        <v>139.449548254148</v>
      </c>
      <c r="G224" s="16" t="n">
        <f aca="false">sol_ecl!$H$224</f>
        <v>303.324270481862</v>
      </c>
      <c r="H224" s="6" t="n">
        <f aca="false">calc!$Z$224</f>
        <v>-4.84502157639039</v>
      </c>
      <c r="I224" s="112" t="n">
        <f aca="false">10*H224</f>
        <v>-48.4502157639039</v>
      </c>
      <c r="J224" s="103" t="n">
        <f aca="false">ABS(ABS(F224-G224)-180)</f>
        <v>16.1252777722862</v>
      </c>
      <c r="K224" s="6" t="str">
        <f aca="false">IF(ABS(J224)/11.31&lt;1,J224/11.31,"")</f>
        <v/>
      </c>
      <c r="L224" s="6" t="str">
        <f aca="false">IF(ABS(H224)/1.067&lt;1,H224,"")</f>
        <v/>
      </c>
      <c r="M224" s="107" t="str">
        <f aca="false">IF(OR(K224="",L224=""),"",ABS(K224)+ABS(L224))</f>
        <v/>
      </c>
    </row>
    <row r="225" customFormat="false" ht="17.75" hidden="false" customHeight="true" outlineLevel="0" collapsed="false">
      <c r="C225" s="2" t="n">
        <f aca="false">sol_ecl!$C$225</f>
        <v>12</v>
      </c>
      <c r="D225" s="2" t="n">
        <f aca="false">sol_ecl!$D$225</f>
        <v>8</v>
      </c>
      <c r="E225" s="102" t="n">
        <f aca="false">sol_ecl!$E$225</f>
        <v>224</v>
      </c>
      <c r="F225" s="6" t="n">
        <f aca="false">calc!$AN$225</f>
        <v>140.435195618005</v>
      </c>
      <c r="G225" s="16" t="n">
        <f aca="false">sol_ecl!$H$225</f>
        <v>318.356318608415</v>
      </c>
      <c r="H225" s="6" t="n">
        <f aca="false">calc!$Z$225</f>
        <v>-5.00487487217245</v>
      </c>
      <c r="I225" s="112" t="n">
        <f aca="false">10*H225</f>
        <v>-50.0487487217245</v>
      </c>
      <c r="J225" s="103" t="n">
        <f aca="false">ABS(ABS(F225-G225)-180)</f>
        <v>2.07887700959043</v>
      </c>
      <c r="K225" s="6" t="n">
        <f aca="false">IF(ABS(J225)/11.31&lt;1,J225/11.31,"")</f>
        <v>0.18380875416361</v>
      </c>
      <c r="L225" s="6" t="str">
        <f aca="false">IF(ABS(H225)/1.067&lt;1,H225,"")</f>
        <v/>
      </c>
      <c r="M225" s="107" t="str">
        <f aca="false">IF(OR(K225="",L225=""),"",ABS(K225)+ABS(L225))</f>
        <v/>
      </c>
    </row>
    <row r="226" customFormat="false" ht="17.75" hidden="false" customHeight="true" outlineLevel="0" collapsed="false">
      <c r="C226" s="2" t="n">
        <f aca="false">sol_ecl!$C$226</f>
        <v>13</v>
      </c>
      <c r="D226" s="2" t="n">
        <f aca="false">sol_ecl!$D$226</f>
        <v>8</v>
      </c>
      <c r="E226" s="102" t="n">
        <f aca="false">sol_ecl!$E$226</f>
        <v>225</v>
      </c>
      <c r="F226" s="6" t="n">
        <f aca="false">calc!$AN$226</f>
        <v>141.420842981865</v>
      </c>
      <c r="G226" s="16" t="n">
        <f aca="false">sol_ecl!$H$226</f>
        <v>333.212657872794</v>
      </c>
      <c r="H226" s="6" t="n">
        <f aca="false">calc!$Z$226</f>
        <v>-4.82383369908524</v>
      </c>
      <c r="I226" s="112" t="n">
        <f aca="false">10*H226</f>
        <v>-48.2383369908524</v>
      </c>
      <c r="J226" s="103" t="n">
        <f aca="false">ABS(ABS(F226-G226)-180)</f>
        <v>11.7918148909293</v>
      </c>
      <c r="K226" s="6" t="str">
        <f aca="false">IF(ABS(J226)/11.31&lt;1,J226/11.31,"")</f>
        <v/>
      </c>
      <c r="L226" s="6" t="str">
        <f aca="false">IF(ABS(H226)/1.067&lt;1,H226,"")</f>
        <v/>
      </c>
      <c r="M226" s="107" t="str">
        <f aca="false">IF(OR(K226="",L226=""),"",ABS(K226)+ABS(L226))</f>
        <v/>
      </c>
    </row>
    <row r="227" customFormat="false" ht="17.75" hidden="false" customHeight="true" outlineLevel="0" collapsed="false">
      <c r="C227" s="2" t="n">
        <f aca="false">sol_ecl!$C$227</f>
        <v>14</v>
      </c>
      <c r="D227" s="2" t="n">
        <f aca="false">sol_ecl!$D$227</f>
        <v>8</v>
      </c>
      <c r="E227" s="102" t="n">
        <f aca="false">sol_ecl!$E$227</f>
        <v>226</v>
      </c>
      <c r="F227" s="6" t="n">
        <f aca="false">calc!$AN$227</f>
        <v>142.406490345722</v>
      </c>
      <c r="G227" s="16" t="n">
        <f aca="false">sol_ecl!$H$227</f>
        <v>347.754887281836</v>
      </c>
      <c r="H227" s="6" t="n">
        <f aca="false">calc!$Z$227</f>
        <v>-4.3314772517721</v>
      </c>
      <c r="I227" s="112" t="n">
        <f aca="false">10*H227</f>
        <v>-43.314772517721</v>
      </c>
      <c r="J227" s="103" t="n">
        <f aca="false">ABS(ABS(F227-G227)-180)</f>
        <v>25.3483969361142</v>
      </c>
      <c r="K227" s="6" t="str">
        <f aca="false">IF(ABS(J227)/11.31&lt;1,J227/11.31,"")</f>
        <v/>
      </c>
      <c r="L227" s="6" t="str">
        <f aca="false">IF(ABS(H227)/1.067&lt;1,H227,"")</f>
        <v/>
      </c>
      <c r="M227" s="107" t="str">
        <f aca="false">IF(OR(K227="",L227=""),"",ABS(K227)+ABS(L227))</f>
        <v/>
      </c>
    </row>
    <row r="228" customFormat="false" ht="17.75" hidden="false" customHeight="true" outlineLevel="0" collapsed="false">
      <c r="C228" s="2" t="n">
        <f aca="false">sol_ecl!$C$228</f>
        <v>15</v>
      </c>
      <c r="D228" s="2" t="n">
        <f aca="false">sol_ecl!$D$228</f>
        <v>8</v>
      </c>
      <c r="E228" s="102" t="n">
        <f aca="false">sol_ecl!$E$228</f>
        <v>227</v>
      </c>
      <c r="F228" s="6" t="n">
        <f aca="false">calc!$AN$228</f>
        <v>143.392137709583</v>
      </c>
      <c r="G228" s="16" t="n">
        <f aca="false">sol_ecl!$H$228</f>
        <v>1.88022973887737</v>
      </c>
      <c r="H228" s="6" t="n">
        <f aca="false">calc!$Z$228</f>
        <v>-3.58386624494141</v>
      </c>
      <c r="I228" s="112" t="n">
        <f aca="false">10*H228</f>
        <v>-35.8386624494141</v>
      </c>
      <c r="J228" s="103" t="n">
        <f aca="false">ABS(ABS(F228-G228)-180)</f>
        <v>38.4880920292943</v>
      </c>
      <c r="K228" s="6" t="str">
        <f aca="false">IF(ABS(J228)/11.31&lt;1,J228/11.31,"")</f>
        <v/>
      </c>
      <c r="L228" s="6" t="str">
        <f aca="false">IF(ABS(H228)/1.067&lt;1,H228,"")</f>
        <v/>
      </c>
      <c r="M228" s="107" t="str">
        <f aca="false">IF(OR(K228="",L228=""),"",ABS(K228)+ABS(L228))</f>
        <v/>
      </c>
    </row>
    <row r="229" customFormat="false" ht="17.75" hidden="false" customHeight="true" outlineLevel="0" collapsed="false">
      <c r="C229" s="2" t="n">
        <f aca="false">sol_ecl!$C$229</f>
        <v>16</v>
      </c>
      <c r="D229" s="2" t="n">
        <f aca="false">sol_ecl!$D$229</f>
        <v>8</v>
      </c>
      <c r="E229" s="102" t="n">
        <f aca="false">sol_ecl!$E$229</f>
        <v>228</v>
      </c>
      <c r="F229" s="6" t="n">
        <f aca="false">calc!$AN$229</f>
        <v>144.37778507344</v>
      </c>
      <c r="G229" s="16" t="n">
        <f aca="false">sol_ecl!$H$229</f>
        <v>15.53370503837</v>
      </c>
      <c r="H229" s="6" t="n">
        <f aca="false">calc!$Z$229</f>
        <v>-2.6507507045589</v>
      </c>
      <c r="I229" s="112" t="n">
        <f aca="false">10*H229</f>
        <v>-26.507507045589</v>
      </c>
      <c r="J229" s="103" t="n">
        <f aca="false">ABS(ABS(F229-G229)-180)</f>
        <v>51.1559199649295</v>
      </c>
      <c r="K229" s="6" t="str">
        <f aca="false">IF(ABS(J229)/11.31&lt;1,J229/11.31,"")</f>
        <v/>
      </c>
      <c r="L229" s="6" t="str">
        <f aca="false">IF(ABS(H229)/1.067&lt;1,H229,"")</f>
        <v/>
      </c>
      <c r="M229" s="107" t="str">
        <f aca="false">IF(OR(K229="",L229=""),"",ABS(K229)+ABS(L229))</f>
        <v/>
      </c>
    </row>
    <row r="230" customFormat="false" ht="17.75" hidden="false" customHeight="true" outlineLevel="0" collapsed="false">
      <c r="C230" s="2" t="n">
        <f aca="false">sol_ecl!$C$230</f>
        <v>17</v>
      </c>
      <c r="D230" s="2" t="n">
        <f aca="false">sol_ecl!$D$230</f>
        <v>8</v>
      </c>
      <c r="E230" s="102" t="n">
        <f aca="false">sol_ecl!$E$230</f>
        <v>229</v>
      </c>
      <c r="F230" s="6" t="n">
        <f aca="false">calc!$AN$230</f>
        <v>145.363432437302</v>
      </c>
      <c r="G230" s="16" t="n">
        <f aca="false">sol_ecl!$H$230</f>
        <v>28.7110995656791</v>
      </c>
      <c r="H230" s="6" t="n">
        <f aca="false">calc!$Z$230</f>
        <v>-1.60336797671305</v>
      </c>
      <c r="I230" s="112" t="n">
        <f aca="false">10*H230</f>
        <v>-16.0336797671305</v>
      </c>
      <c r="J230" s="103" t="n">
        <f aca="false">ABS(ABS(F230-G230)-180)</f>
        <v>63.3476671283776</v>
      </c>
      <c r="K230" s="6" t="str">
        <f aca="false">IF(ABS(J230)/11.31&lt;1,J230/11.31,"")</f>
        <v/>
      </c>
      <c r="L230" s="6" t="str">
        <f aca="false">IF(ABS(H230)/1.067&lt;1,H230,"")</f>
        <v/>
      </c>
      <c r="M230" s="107" t="str">
        <f aca="false">IF(OR(K230="",L230=""),"",ABS(K230)+ABS(L230))</f>
        <v/>
      </c>
    </row>
    <row r="231" customFormat="false" ht="17.75" hidden="false" customHeight="true" outlineLevel="0" collapsed="false">
      <c r="C231" s="2" t="n">
        <f aca="false">sol_ecl!$C$231</f>
        <v>18</v>
      </c>
      <c r="D231" s="2" t="n">
        <f aca="false">sol_ecl!$D$231</f>
        <v>8</v>
      </c>
      <c r="E231" s="102" t="n">
        <f aca="false">sol_ecl!$E$231</f>
        <v>230</v>
      </c>
      <c r="F231" s="6" t="n">
        <f aca="false">calc!$AN$231</f>
        <v>146.349079801161</v>
      </c>
      <c r="G231" s="16" t="n">
        <f aca="false">sol_ecl!$H$231</f>
        <v>41.4530840787897</v>
      </c>
      <c r="H231" s="6" t="n">
        <f aca="false">calc!$Z$231</f>
        <v>-0.50625699870925</v>
      </c>
      <c r="I231" s="112" t="n">
        <f aca="false">10*H231</f>
        <v>-5.0625699870925</v>
      </c>
      <c r="J231" s="103" t="n">
        <f aca="false">ABS(ABS(F231-G231)-180)</f>
        <v>75.1040042776289</v>
      </c>
      <c r="K231" s="6" t="str">
        <f aca="false">IF(ABS(J231)/11.31&lt;1,J231/11.31,"")</f>
        <v/>
      </c>
      <c r="L231" s="6" t="n">
        <f aca="false">IF(ABS(H231)/1.067&lt;1,H231,"")</f>
        <v>-0.50625699870925</v>
      </c>
      <c r="M231" s="107" t="str">
        <f aca="false">IF(OR(K231="",L231=""),"",ABS(K231)+ABS(L231))</f>
        <v/>
      </c>
    </row>
    <row r="232" customFormat="false" ht="17.75" hidden="false" customHeight="true" outlineLevel="0" collapsed="false">
      <c r="C232" s="2" t="n">
        <f aca="false">sol_ecl!$C$232</f>
        <v>19</v>
      </c>
      <c r="D232" s="2" t="n">
        <f aca="false">sol_ecl!$D$232</f>
        <v>8</v>
      </c>
      <c r="E232" s="102" t="n">
        <f aca="false">sol_ecl!$E$232</f>
        <v>231</v>
      </c>
      <c r="F232" s="6" t="n">
        <f aca="false">calc!$AN$232</f>
        <v>147.334727165022</v>
      </c>
      <c r="G232" s="16" t="n">
        <f aca="false">sol_ecl!$H$232</f>
        <v>53.8329860735459</v>
      </c>
      <c r="H232" s="6" t="n">
        <f aca="false">calc!$Z$232</f>
        <v>0.586020206968269</v>
      </c>
      <c r="I232" s="112" t="n">
        <f aca="false">10*H232</f>
        <v>5.86020206968269</v>
      </c>
      <c r="J232" s="103" t="n">
        <f aca="false">ABS(ABS(F232-G232)-180)</f>
        <v>86.4982589085241</v>
      </c>
      <c r="K232" s="6" t="str">
        <f aca="false">IF(ABS(J232)/11.31&lt;1,J232/11.31,"")</f>
        <v/>
      </c>
      <c r="L232" s="6" t="n">
        <f aca="false">IF(ABS(H232)/1.067&lt;1,H232,"")</f>
        <v>0.586020206968269</v>
      </c>
      <c r="M232" s="107" t="str">
        <f aca="false">IF(OR(K232="",L232=""),"",ABS(K232)+ABS(L232))</f>
        <v/>
      </c>
    </row>
    <row r="233" customFormat="false" ht="17.75" hidden="false" customHeight="true" outlineLevel="0" collapsed="false">
      <c r="C233" s="2" t="n">
        <f aca="false">sol_ecl!$C$233</f>
        <v>20</v>
      </c>
      <c r="D233" s="2" t="n">
        <f aca="false">sol_ecl!$D$233</f>
        <v>8</v>
      </c>
      <c r="E233" s="102" t="n">
        <f aca="false">sol_ecl!$E$233</f>
        <v>232</v>
      </c>
      <c r="F233" s="6" t="n">
        <f aca="false">calc!$AN$233</f>
        <v>148.320374528883</v>
      </c>
      <c r="G233" s="16" t="n">
        <f aca="false">sol_ecl!$H$233</f>
        <v>65.9419039965656</v>
      </c>
      <c r="H233" s="6" t="n">
        <f aca="false">calc!$Z$233</f>
        <v>1.62841597950048</v>
      </c>
      <c r="I233" s="112" t="n">
        <f aca="false">10*H233</f>
        <v>16.2841597950048</v>
      </c>
      <c r="J233" s="103" t="n">
        <f aca="false">ABS(ABS(F233-G233)-180)</f>
        <v>97.6215294676827</v>
      </c>
      <c r="K233" s="6" t="str">
        <f aca="false">IF(ABS(J233)/11.31&lt;1,J233/11.31,"")</f>
        <v/>
      </c>
      <c r="L233" s="6" t="str">
        <f aca="false">IF(ABS(H233)/1.067&lt;1,H233,"")</f>
        <v/>
      </c>
      <c r="M233" s="107" t="str">
        <f aca="false">IF(OR(K233="",L233=""),"",ABS(K233)+ABS(L233))</f>
        <v/>
      </c>
    </row>
    <row r="234" customFormat="false" ht="17.75" hidden="false" customHeight="true" outlineLevel="0" collapsed="false">
      <c r="C234" s="2" t="n">
        <f aca="false">sol_ecl!$C$234</f>
        <v>21</v>
      </c>
      <c r="D234" s="2" t="n">
        <f aca="false">sol_ecl!$D$234</f>
        <v>8</v>
      </c>
      <c r="E234" s="102" t="n">
        <f aca="false">sol_ecl!$E$234</f>
        <v>233</v>
      </c>
      <c r="F234" s="6" t="n">
        <f aca="false">calc!$AN$234</f>
        <v>149.306021892744</v>
      </c>
      <c r="G234" s="16" t="n">
        <f aca="false">sol_ecl!$H$234</f>
        <v>77.8747949592995</v>
      </c>
      <c r="H234" s="6" t="n">
        <f aca="false">calc!$Z$234</f>
        <v>2.58316535434374</v>
      </c>
      <c r="I234" s="112" t="n">
        <f aca="false">10*H234</f>
        <v>25.8316535434374</v>
      </c>
      <c r="J234" s="103" t="n">
        <f aca="false">ABS(ABS(F234-G234)-180)</f>
        <v>108.568773066556</v>
      </c>
      <c r="K234" s="6" t="str">
        <f aca="false">IF(ABS(J234)/11.31&lt;1,J234/11.31,"")</f>
        <v/>
      </c>
      <c r="L234" s="6" t="str">
        <f aca="false">IF(ABS(H234)/1.067&lt;1,H234,"")</f>
        <v/>
      </c>
      <c r="M234" s="107" t="str">
        <f aca="false">IF(OR(K234="",L234=""),"",ABS(K234)+ABS(L234))</f>
        <v/>
      </c>
    </row>
    <row r="235" customFormat="false" ht="17.75" hidden="false" customHeight="true" outlineLevel="0" collapsed="false">
      <c r="C235" s="2" t="n">
        <f aca="false">sol_ecl!$C$235</f>
        <v>22</v>
      </c>
      <c r="D235" s="2" t="n">
        <f aca="false">sol_ecl!$D$235</f>
        <v>8</v>
      </c>
      <c r="E235" s="102" t="n">
        <f aca="false">sol_ecl!$E$235</f>
        <v>234</v>
      </c>
      <c r="F235" s="6" t="n">
        <f aca="false">calc!$AN$235</f>
        <v>150.291669256607</v>
      </c>
      <c r="G235" s="16" t="n">
        <f aca="false">sol_ecl!$H$235</f>
        <v>89.7200665321186</v>
      </c>
      <c r="H235" s="6" t="n">
        <f aca="false">calc!$Z$235</f>
        <v>3.41747407236495</v>
      </c>
      <c r="I235" s="112" t="n">
        <f aca="false">10*H235</f>
        <v>34.1747407236495</v>
      </c>
      <c r="J235" s="103" t="n">
        <f aca="false">ABS(ABS(F235-G235)-180)</f>
        <v>119.428397275512</v>
      </c>
      <c r="K235" s="6" t="str">
        <f aca="false">IF(ABS(J235)/11.31&lt;1,J235/11.31,"")</f>
        <v/>
      </c>
      <c r="L235" s="6" t="str">
        <f aca="false">IF(ABS(H235)/1.067&lt;1,H235,"")</f>
        <v/>
      </c>
      <c r="M235" s="107" t="str">
        <f aca="false">IF(OR(K235="",L235=""),"",ABS(K235)+ABS(L235))</f>
        <v/>
      </c>
    </row>
    <row r="236" customFormat="false" ht="17.75" hidden="false" customHeight="true" outlineLevel="0" collapsed="false">
      <c r="C236" s="2" t="n">
        <f aca="false">sol_ecl!$C$236</f>
        <v>23</v>
      </c>
      <c r="D236" s="2" t="n">
        <f aca="false">sol_ecl!$D$236</f>
        <v>8</v>
      </c>
      <c r="E236" s="102" t="n">
        <f aca="false">sol_ecl!$E$236</f>
        <v>235</v>
      </c>
      <c r="F236" s="6" t="n">
        <f aca="false">calc!$AN$236</f>
        <v>151.27731662047</v>
      </c>
      <c r="G236" s="16" t="n">
        <f aca="false">sol_ecl!$H$236</f>
        <v>101.553593253324</v>
      </c>
      <c r="H236" s="6" t="n">
        <f aca="false">calc!$Z$236</f>
        <v>4.10204340428872</v>
      </c>
      <c r="I236" s="112" t="n">
        <f aca="false">10*H236</f>
        <v>41.0204340428872</v>
      </c>
      <c r="J236" s="103" t="n">
        <f aca="false">ABS(ABS(F236-G236)-180)</f>
        <v>130.276276632854</v>
      </c>
      <c r="K236" s="6" t="str">
        <f aca="false">IF(ABS(J236)/11.31&lt;1,J236/11.31,"")</f>
        <v/>
      </c>
      <c r="L236" s="6" t="str">
        <f aca="false">IF(ABS(H236)/1.067&lt;1,H236,"")</f>
        <v/>
      </c>
      <c r="M236" s="107" t="str">
        <f aca="false">IF(OR(K236="",L236=""),"",ABS(K236)+ABS(L236))</f>
        <v/>
      </c>
    </row>
    <row r="237" customFormat="false" ht="17.75" hidden="false" customHeight="true" outlineLevel="0" collapsed="false">
      <c r="C237" s="2" t="n">
        <f aca="false">sol_ecl!$C$237</f>
        <v>24</v>
      </c>
      <c r="D237" s="2" t="n">
        <f aca="false">sol_ecl!$D$237</f>
        <v>8</v>
      </c>
      <c r="E237" s="102" t="n">
        <f aca="false">sol_ecl!$E$237</f>
        <v>236</v>
      </c>
      <c r="F237" s="6" t="n">
        <f aca="false">calc!$AN$237</f>
        <v>152.262963984333</v>
      </c>
      <c r="G237" s="16" t="n">
        <f aca="false">sol_ecl!$H$237</f>
        <v>113.436608639672</v>
      </c>
      <c r="H237" s="6" t="n">
        <f aca="false">calc!$Z$237</f>
        <v>4.61064030394165</v>
      </c>
      <c r="I237" s="112" t="n">
        <f aca="false">10*H237</f>
        <v>46.1064030394165</v>
      </c>
      <c r="J237" s="103" t="n">
        <f aca="false">ABS(ABS(F237-G237)-180)</f>
        <v>141.173644655339</v>
      </c>
      <c r="K237" s="6" t="str">
        <f aca="false">IF(ABS(J237)/11.31&lt;1,J237/11.31,"")</f>
        <v/>
      </c>
      <c r="L237" s="6" t="str">
        <f aca="false">IF(ABS(H237)/1.067&lt;1,H237,"")</f>
        <v/>
      </c>
      <c r="M237" s="107" t="str">
        <f aca="false">IF(OR(K237="",L237=""),"",ABS(K237)+ABS(L237))</f>
        <v/>
      </c>
    </row>
    <row r="238" customFormat="false" ht="17.75" hidden="false" customHeight="true" outlineLevel="0" collapsed="false">
      <c r="C238" s="2" t="n">
        <f aca="false">sol_ecl!$C$238</f>
        <v>25</v>
      </c>
      <c r="D238" s="2" t="n">
        <f aca="false">sol_ecl!$D$238</f>
        <v>8</v>
      </c>
      <c r="E238" s="102" t="n">
        <f aca="false">sol_ecl!$E$238</f>
        <v>237</v>
      </c>
      <c r="F238" s="6" t="n">
        <f aca="false">calc!$AN$238</f>
        <v>153.248611348195</v>
      </c>
      <c r="G238" s="16" t="n">
        <f aca="false">sol_ecl!$H$238</f>
        <v>125.416093794223</v>
      </c>
      <c r="H238" s="6" t="n">
        <f aca="false">calc!$Z$238</f>
        <v>4.92054972842456</v>
      </c>
      <c r="I238" s="112" t="n">
        <f aca="false">10*H238</f>
        <v>49.2054972842455</v>
      </c>
      <c r="J238" s="103" t="n">
        <f aca="false">ABS(ABS(F238-G238)-180)</f>
        <v>152.167482446028</v>
      </c>
      <c r="K238" s="6" t="str">
        <f aca="false">IF(ABS(J238)/11.31&lt;1,J238/11.31,"")</f>
        <v/>
      </c>
      <c r="L238" s="6" t="str">
        <f aca="false">IF(ABS(H238)/1.067&lt;1,H238,"")</f>
        <v/>
      </c>
      <c r="M238" s="107" t="str">
        <f aca="false">IF(OR(K238="",L238=""),"",ABS(K238)+ABS(L238))</f>
        <v/>
      </c>
    </row>
    <row r="239" customFormat="false" ht="17.75" hidden="false" customHeight="true" outlineLevel="0" collapsed="false">
      <c r="C239" s="2" t="n">
        <f aca="false">sol_ecl!$C$239</f>
        <v>26</v>
      </c>
      <c r="D239" s="2" t="n">
        <f aca="false">sol_ecl!$D$239</f>
        <v>8</v>
      </c>
      <c r="E239" s="102" t="n">
        <f aca="false">sol_ecl!$E$239</f>
        <v>238</v>
      </c>
      <c r="F239" s="6" t="n">
        <f aca="false">calc!$AN$239</f>
        <v>154.23425871206</v>
      </c>
      <c r="G239" s="16" t="n">
        <f aca="false">sol_ecl!$H$239</f>
        <v>137.526262188857</v>
      </c>
      <c r="H239" s="6" t="n">
        <f aca="false">calc!$Z$239</f>
        <v>5.01369403355416</v>
      </c>
      <c r="I239" s="112" t="n">
        <f aca="false">10*H239</f>
        <v>50.1369403355416</v>
      </c>
      <c r="J239" s="103" t="n">
        <f aca="false">ABS(ABS(F239-G239)-180)</f>
        <v>163.292003476796</v>
      </c>
      <c r="K239" s="6" t="str">
        <f aca="false">IF(ABS(J239)/11.31&lt;1,J239/11.31,"")</f>
        <v/>
      </c>
      <c r="L239" s="6" t="str">
        <f aca="false">IF(ABS(H239)/1.067&lt;1,H239,"")</f>
        <v/>
      </c>
      <c r="M239" s="107" t="str">
        <f aca="false">IF(OR(K239="",L239=""),"",ABS(K239)+ABS(L239))</f>
        <v/>
      </c>
    </row>
    <row r="240" customFormat="false" ht="17.75" hidden="false" customHeight="true" outlineLevel="0" collapsed="false">
      <c r="C240" s="2" t="n">
        <f aca="false">sol_ecl!$C$240</f>
        <v>27</v>
      </c>
      <c r="D240" s="2" t="n">
        <f aca="false">sol_ecl!$D$240</f>
        <v>8</v>
      </c>
      <c r="E240" s="102" t="n">
        <f aca="false">sol_ecl!$E$240</f>
        <v>239</v>
      </c>
      <c r="F240" s="6" t="n">
        <f aca="false">calc!$AN$240</f>
        <v>155.219906075925</v>
      </c>
      <c r="G240" s="16" t="n">
        <f aca="false">sol_ecl!$H$240</f>
        <v>149.790328604439</v>
      </c>
      <c r="H240" s="6" t="n">
        <f aca="false">calc!$Z$240</f>
        <v>4.87827532008312</v>
      </c>
      <c r="I240" s="112" t="n">
        <f aca="false">10*H240</f>
        <v>48.7827532008312</v>
      </c>
      <c r="J240" s="103" t="n">
        <f aca="false">ABS(ABS(F240-G240)-180)</f>
        <v>174.570422528514</v>
      </c>
      <c r="K240" s="6" t="str">
        <f aca="false">IF(ABS(J240)/11.31&lt;1,J240/11.31,"")</f>
        <v/>
      </c>
      <c r="L240" s="6" t="str">
        <f aca="false">IF(ABS(H240)/1.067&lt;1,H240,"")</f>
        <v/>
      </c>
      <c r="M240" s="107" t="str">
        <f aca="false">IF(OR(K240="",L240=""),"",ABS(K240)+ABS(L240))</f>
        <v/>
      </c>
    </row>
    <row r="241" customFormat="false" ht="17.75" hidden="false" customHeight="true" outlineLevel="0" collapsed="false">
      <c r="C241" s="2" t="n">
        <f aca="false">sol_ecl!$C$241</f>
        <v>28</v>
      </c>
      <c r="D241" s="2" t="n">
        <f aca="false">sol_ecl!$D$241</f>
        <v>8</v>
      </c>
      <c r="E241" s="102" t="n">
        <f aca="false">sol_ecl!$E$241</f>
        <v>240</v>
      </c>
      <c r="F241" s="6" t="n">
        <f aca="false">calc!$AN$241</f>
        <v>156.205553439788</v>
      </c>
      <c r="G241" s="16" t="n">
        <f aca="false">sol_ecl!$H$241</f>
        <v>162.222505952044</v>
      </c>
      <c r="H241" s="6" t="n">
        <f aca="false">calc!$Z$241</f>
        <v>4.51078487439744</v>
      </c>
      <c r="I241" s="112" t="n">
        <f aca="false">10*H241</f>
        <v>45.1078487439744</v>
      </c>
      <c r="J241" s="103" t="n">
        <f aca="false">ABS(ABS(F241-G241)-180)</f>
        <v>173.983047487744</v>
      </c>
      <c r="K241" s="6" t="str">
        <f aca="false">IF(ABS(J241)/11.31&lt;1,J241/11.31,"")</f>
        <v/>
      </c>
      <c r="L241" s="6" t="str">
        <f aca="false">IF(ABS(H241)/1.067&lt;1,H241,"")</f>
        <v/>
      </c>
      <c r="M241" s="107" t="str">
        <f aca="false">IF(OR(K241="",L241=""),"",ABS(K241)+ABS(L241))</f>
        <v/>
      </c>
    </row>
    <row r="242" customFormat="false" ht="17.75" hidden="false" customHeight="true" outlineLevel="0" collapsed="false">
      <c r="C242" s="2" t="n">
        <f aca="false">sol_ecl!$C$242</f>
        <v>29</v>
      </c>
      <c r="D242" s="2" t="n">
        <f aca="false">sol_ecl!$D$242</f>
        <v>8</v>
      </c>
      <c r="E242" s="102" t="n">
        <f aca="false">sol_ecl!$E$242</f>
        <v>241</v>
      </c>
      <c r="F242" s="6" t="n">
        <f aca="false">calc!$AN$242</f>
        <v>157.191200803654</v>
      </c>
      <c r="G242" s="16" t="n">
        <f aca="false">sol_ecl!$H$242</f>
        <v>174.830629892813</v>
      </c>
      <c r="H242" s="6" t="n">
        <f aca="false">calc!$Z$242</f>
        <v>3.91806658711446</v>
      </c>
      <c r="I242" s="112" t="n">
        <f aca="false">10*H242</f>
        <v>39.1806658711446</v>
      </c>
      <c r="J242" s="103" t="n">
        <f aca="false">ABS(ABS(F242-G242)-180)</f>
        <v>162.360570910841</v>
      </c>
      <c r="K242" s="6" t="str">
        <f aca="false">IF(ABS(J242)/11.31&lt;1,J242/11.31,"")</f>
        <v/>
      </c>
      <c r="L242" s="6" t="str">
        <f aca="false">IF(ABS(H242)/1.067&lt;1,H242,"")</f>
        <v/>
      </c>
      <c r="M242" s="107" t="str">
        <f aca="false">IF(OR(K242="",L242=""),"",ABS(K242)+ABS(L242))</f>
        <v/>
      </c>
    </row>
    <row r="243" customFormat="false" ht="17.75" hidden="false" customHeight="true" outlineLevel="0" collapsed="false">
      <c r="C243" s="2" t="n">
        <f aca="false">sol_ecl!$C$243</f>
        <v>30</v>
      </c>
      <c r="D243" s="2" t="n">
        <f aca="false">sol_ecl!$D$243</f>
        <v>8</v>
      </c>
      <c r="E243" s="102" t="n">
        <f aca="false">sol_ecl!$E$243</f>
        <v>242</v>
      </c>
      <c r="F243" s="6" t="n">
        <f aca="false">calc!$AN$243</f>
        <v>158.176848167519</v>
      </c>
      <c r="G243" s="16" t="n">
        <f aca="false">sol_ecl!$H$243</f>
        <v>187.61969710353</v>
      </c>
      <c r="H243" s="6" t="n">
        <f aca="false">calc!$Z$243</f>
        <v>3.11894162738318</v>
      </c>
      <c r="I243" s="112" t="n">
        <f aca="false">10*H243</f>
        <v>31.1894162738318</v>
      </c>
      <c r="J243" s="103" t="n">
        <f aca="false">ABS(ABS(F243-G243)-180)</f>
        <v>150.557151063989</v>
      </c>
      <c r="K243" s="6" t="str">
        <f aca="false">IF(ABS(J243)/11.31&lt;1,J243/11.31,"")</f>
        <v/>
      </c>
      <c r="L243" s="6" t="str">
        <f aca="false">IF(ABS(H243)/1.067&lt;1,H243,"")</f>
        <v/>
      </c>
      <c r="M243" s="107" t="str">
        <f aca="false">IF(OR(K243="",L243=""),"",ABS(K243)+ABS(L243))</f>
        <v/>
      </c>
    </row>
    <row r="244" customFormat="false" ht="17.75" hidden="false" customHeight="true" outlineLevel="0" collapsed="false">
      <c r="C244" s="2" t="n">
        <f aca="false">sol_ecl!$C$244</f>
        <v>31</v>
      </c>
      <c r="D244" s="2" t="n">
        <f aca="false">sol_ecl!$D$244</f>
        <v>8</v>
      </c>
      <c r="E244" s="102" t="n">
        <f aca="false">sol_ecl!$E$244</f>
        <v>243</v>
      </c>
      <c r="F244" s="6" t="n">
        <f aca="false">calc!$AN$244</f>
        <v>159.162495531386</v>
      </c>
      <c r="G244" s="16" t="n">
        <f aca="false">sol_ecl!$H$244</f>
        <v>200.595969009998</v>
      </c>
      <c r="H244" s="6" t="n">
        <f aca="false">calc!$Z$244</f>
        <v>2.14490397980481</v>
      </c>
      <c r="I244" s="112" t="n">
        <f aca="false">10*H244</f>
        <v>21.4490397980481</v>
      </c>
      <c r="J244" s="103" t="n">
        <f aca="false">ABS(ABS(F244-G244)-180)</f>
        <v>138.566526521388</v>
      </c>
      <c r="K244" s="6" t="str">
        <f aca="false">IF(ABS(J244)/11.31&lt;1,J244/11.31,"")</f>
        <v/>
      </c>
      <c r="L244" s="6" t="str">
        <f aca="false">IF(ABS(H244)/1.067&lt;1,H244,"")</f>
        <v/>
      </c>
      <c r="M244" s="107" t="str">
        <f aca="false">IF(OR(K244="",L244=""),"",ABS(K244)+ABS(L244))</f>
        <v/>
      </c>
    </row>
    <row r="245" customFormat="false" ht="17.75" hidden="false" customHeight="true" outlineLevel="0" collapsed="false">
      <c r="C245" s="2" t="n">
        <f aca="false">sol_ecl!$C$245</f>
        <v>1</v>
      </c>
      <c r="D245" s="2" t="n">
        <f aca="false">sol_ecl!$D$245</f>
        <v>9</v>
      </c>
      <c r="E245" s="102" t="n">
        <f aca="false">sol_ecl!$E$245</f>
        <v>244</v>
      </c>
      <c r="F245" s="6" t="n">
        <f aca="false">calc!$AN$245</f>
        <v>160.148142895252</v>
      </c>
      <c r="G245" s="16" t="n">
        <f aca="false">sol_ecl!$H$245</f>
        <v>213.770485842731</v>
      </c>
      <c r="H245" s="6" t="n">
        <f aca="false">calc!$Z$245</f>
        <v>1.03967375568635</v>
      </c>
      <c r="I245" s="112" t="n">
        <f aca="false">10*H245</f>
        <v>10.3967375568635</v>
      </c>
      <c r="J245" s="103" t="n">
        <f aca="false">ABS(ABS(F245-G245)-180)</f>
        <v>126.377657052521</v>
      </c>
      <c r="K245" s="6" t="str">
        <f aca="false">IF(ABS(J245)/11.31&lt;1,J245/11.31,"")</f>
        <v/>
      </c>
      <c r="L245" s="6" t="n">
        <f aca="false">IF(ABS(H245)/1.067&lt;1,H245,"")</f>
        <v>1.03967375568635</v>
      </c>
      <c r="M245" s="107" t="str">
        <f aca="false">IF(OR(K245="",L245=""),"",ABS(K245)+ABS(L245))</f>
        <v/>
      </c>
    </row>
    <row r="246" customFormat="false" ht="17.75" hidden="false" customHeight="true" outlineLevel="0" collapsed="false">
      <c r="C246" s="2" t="n">
        <f aca="false">sol_ecl!$C$246</f>
        <v>2</v>
      </c>
      <c r="D246" s="2" t="n">
        <f aca="false">sol_ecl!$D$246</f>
        <v>9</v>
      </c>
      <c r="E246" s="102" t="n">
        <f aca="false">sol_ecl!$E$246</f>
        <v>245</v>
      </c>
      <c r="F246" s="6" t="n">
        <f aca="false">calc!$AN$246</f>
        <v>161.133790259119</v>
      </c>
      <c r="G246" s="16" t="n">
        <f aca="false">sol_ecl!$H$246</f>
        <v>227.160337277664</v>
      </c>
      <c r="H246" s="6" t="n">
        <f aca="false">calc!$Z$246</f>
        <v>-0.142201281321635</v>
      </c>
      <c r="I246" s="112" t="n">
        <f aca="false">10*H246</f>
        <v>-1.42201281321635</v>
      </c>
      <c r="J246" s="103" t="n">
        <f aca="false">ABS(ABS(F246-G246)-180)</f>
        <v>113.973452981454</v>
      </c>
      <c r="K246" s="6" t="str">
        <f aca="false">IF(ABS(J246)/11.31&lt;1,J246/11.31,"")</f>
        <v/>
      </c>
      <c r="L246" s="6" t="n">
        <f aca="false">IF(ABS(H246)/1.067&lt;1,H246,"")</f>
        <v>-0.142201281321635</v>
      </c>
      <c r="M246" s="107" t="str">
        <f aca="false">IF(OR(K246="",L246=""),"",ABS(K246)+ABS(L246))</f>
        <v/>
      </c>
    </row>
    <row r="247" customFormat="false" ht="17.75" hidden="false" customHeight="true" outlineLevel="0" collapsed="false">
      <c r="C247" s="2" t="n">
        <f aca="false">sol_ecl!$C$247</f>
        <v>3</v>
      </c>
      <c r="D247" s="2" t="n">
        <f aca="false">sol_ecl!$D$247</f>
        <v>9</v>
      </c>
      <c r="E247" s="102" t="n">
        <f aca="false">sol_ecl!$E$247</f>
        <v>246</v>
      </c>
      <c r="F247" s="6" t="n">
        <f aca="false">calc!$AN$247</f>
        <v>162.119437622987</v>
      </c>
      <c r="G247" s="16" t="n">
        <f aca="false">sol_ecl!$H$247</f>
        <v>240.786231857038</v>
      </c>
      <c r="H247" s="6" t="n">
        <f aca="false">calc!$Z$247</f>
        <v>-1.33729868442479</v>
      </c>
      <c r="I247" s="112" t="n">
        <f aca="false">10*H247</f>
        <v>-13.3729868442479</v>
      </c>
      <c r="J247" s="103" t="n">
        <f aca="false">ABS(ABS(F247-G247)-180)</f>
        <v>101.333205765949</v>
      </c>
      <c r="K247" s="6" t="str">
        <f aca="false">IF(ABS(J247)/11.31&lt;1,J247/11.31,"")</f>
        <v/>
      </c>
      <c r="L247" s="6" t="str">
        <f aca="false">IF(ABS(H247)/1.067&lt;1,H247,"")</f>
        <v/>
      </c>
      <c r="M247" s="107" t="str">
        <f aca="false">IF(OR(K247="",L247=""),"",ABS(K247)+ABS(L247))</f>
        <v/>
      </c>
    </row>
    <row r="248" customFormat="false" ht="17.75" hidden="false" customHeight="true" outlineLevel="0" collapsed="false">
      <c r="C248" s="2" t="n">
        <f aca="false">sol_ecl!$C$248</f>
        <v>4</v>
      </c>
      <c r="D248" s="2" t="n">
        <f aca="false">sol_ecl!$D$248</f>
        <v>9</v>
      </c>
      <c r="E248" s="102" t="n">
        <f aca="false">sol_ecl!$E$248</f>
        <v>247</v>
      </c>
      <c r="F248" s="6" t="n">
        <f aca="false">calc!$AN$248</f>
        <v>163.105084986853</v>
      </c>
      <c r="G248" s="16" t="n">
        <f aca="false">sol_ecl!$H$248</f>
        <v>254.665893115604</v>
      </c>
      <c r="H248" s="6" t="n">
        <f aca="false">calc!$Z$248</f>
        <v>-2.47566376172498</v>
      </c>
      <c r="I248" s="112" t="n">
        <f aca="false">10*H248</f>
        <v>-24.7566376172498</v>
      </c>
      <c r="J248" s="103" t="n">
        <f aca="false">ABS(ABS(F248-G248)-180)</f>
        <v>88.4391918712492</v>
      </c>
      <c r="K248" s="6" t="str">
        <f aca="false">IF(ABS(J248)/11.31&lt;1,J248/11.31,"")</f>
        <v/>
      </c>
      <c r="L248" s="6" t="str">
        <f aca="false">IF(ABS(H248)/1.067&lt;1,H248,"")</f>
        <v/>
      </c>
      <c r="M248" s="107" t="str">
        <f aca="false">IF(OR(K248="",L248=""),"",ABS(K248)+ABS(L248))</f>
        <v/>
      </c>
    </row>
    <row r="249" customFormat="false" ht="17.75" hidden="false" customHeight="true" outlineLevel="0" collapsed="false">
      <c r="C249" s="2" t="n">
        <f aca="false">sol_ecl!$C$249</f>
        <v>5</v>
      </c>
      <c r="D249" s="2" t="n">
        <f aca="false">sol_ecl!$D$249</f>
        <v>9</v>
      </c>
      <c r="E249" s="102" t="n">
        <f aca="false">sol_ecl!$E$249</f>
        <v>248</v>
      </c>
      <c r="F249" s="6" t="n">
        <f aca="false">calc!$AN$249</f>
        <v>164.090732350724</v>
      </c>
      <c r="G249" s="16" t="n">
        <f aca="false">sol_ecl!$H$249</f>
        <v>268.804316058001</v>
      </c>
      <c r="H249" s="6" t="n">
        <f aca="false">calc!$Z$249</f>
        <v>-3.48395419753502</v>
      </c>
      <c r="I249" s="112" t="n">
        <f aca="false">10*H249</f>
        <v>-34.8395419753502</v>
      </c>
      <c r="J249" s="103" t="n">
        <f aca="false">ABS(ABS(F249-G249)-180)</f>
        <v>75.2864162927231</v>
      </c>
      <c r="K249" s="6" t="str">
        <f aca="false">IF(ABS(J249)/11.31&lt;1,J249/11.31,"")</f>
        <v/>
      </c>
      <c r="L249" s="6" t="str">
        <f aca="false">IF(ABS(H249)/1.067&lt;1,H249,"")</f>
        <v/>
      </c>
      <c r="M249" s="107" t="str">
        <f aca="false">IF(OR(K249="",L249=""),"",ABS(K249)+ABS(L249))</f>
        <v/>
      </c>
    </row>
    <row r="250" customFormat="false" ht="17.75" hidden="false" customHeight="true" outlineLevel="0" collapsed="false">
      <c r="C250" s="2" t="n">
        <f aca="false">sol_ecl!$C$250</f>
        <v>6</v>
      </c>
      <c r="D250" s="2" t="n">
        <f aca="false">sol_ecl!$D$250</f>
        <v>9</v>
      </c>
      <c r="E250" s="102" t="n">
        <f aca="false">sol_ecl!$E$250</f>
        <v>249</v>
      </c>
      <c r="F250" s="6" t="n">
        <f aca="false">calc!$AN$250</f>
        <v>165.076379714592</v>
      </c>
      <c r="G250" s="16" t="n">
        <f aca="false">sol_ecl!$H$250</f>
        <v>283.183393035323</v>
      </c>
      <c r="H250" s="6" t="n">
        <f aca="false">calc!$Z$250</f>
        <v>-4.29025590021782</v>
      </c>
      <c r="I250" s="112" t="n">
        <f aca="false">10*H250</f>
        <v>-42.9025590021782</v>
      </c>
      <c r="J250" s="103" t="n">
        <f aca="false">ABS(ABS(F250-G250)-180)</f>
        <v>61.892986679269</v>
      </c>
      <c r="K250" s="6" t="str">
        <f aca="false">IF(ABS(J250)/11.31&lt;1,J250/11.31,"")</f>
        <v/>
      </c>
      <c r="L250" s="6" t="str">
        <f aca="false">IF(ABS(H250)/1.067&lt;1,H250,"")</f>
        <v/>
      </c>
      <c r="M250" s="107" t="str">
        <f aca="false">IF(OR(K250="",L250=""),"",ABS(K250)+ABS(L250))</f>
        <v/>
      </c>
    </row>
    <row r="251" customFormat="false" ht="17.75" hidden="false" customHeight="true" outlineLevel="0" collapsed="false">
      <c r="C251" s="2" t="n">
        <f aca="false">sol_ecl!$C$251</f>
        <v>7</v>
      </c>
      <c r="D251" s="2" t="n">
        <f aca="false">sol_ecl!$D$251</f>
        <v>9</v>
      </c>
      <c r="E251" s="102" t="n">
        <f aca="false">sol_ecl!$E$251</f>
        <v>250</v>
      </c>
      <c r="F251" s="6" t="n">
        <f aca="false">calc!$AN$251</f>
        <v>166.06202707846</v>
      </c>
      <c r="G251" s="16" t="n">
        <f aca="false">sol_ecl!$H$251</f>
        <v>297.754245719867</v>
      </c>
      <c r="H251" s="6" t="n">
        <f aca="false">calc!$Z$251</f>
        <v>-4.83119719663548</v>
      </c>
      <c r="I251" s="112" t="n">
        <f aca="false">10*H251</f>
        <v>-48.3119719663548</v>
      </c>
      <c r="J251" s="103" t="n">
        <f aca="false">ABS(ABS(F251-G251)-180)</f>
        <v>48.3077813585931</v>
      </c>
      <c r="K251" s="6" t="str">
        <f aca="false">IF(ABS(J251)/11.31&lt;1,J251/11.31,"")</f>
        <v/>
      </c>
      <c r="L251" s="6" t="str">
        <f aca="false">IF(ABS(H251)/1.067&lt;1,H251,"")</f>
        <v/>
      </c>
      <c r="M251" s="107" t="str">
        <f aca="false">IF(OR(K251="",L251=""),"",ABS(K251)+ABS(L251))</f>
        <v/>
      </c>
    </row>
    <row r="252" customFormat="false" ht="17.75" hidden="false" customHeight="true" outlineLevel="0" collapsed="false">
      <c r="C252" s="2" t="n">
        <f aca="false">sol_ecl!$C$252</f>
        <v>8</v>
      </c>
      <c r="D252" s="2" t="n">
        <f aca="false">sol_ecl!$D$252</f>
        <v>9</v>
      </c>
      <c r="E252" s="102" t="n">
        <f aca="false">sol_ecl!$E$252</f>
        <v>251</v>
      </c>
      <c r="F252" s="6" t="n">
        <f aca="false">calc!$AN$252</f>
        <v>167.04767444233</v>
      </c>
      <c r="G252" s="16" t="n">
        <f aca="false">sol_ecl!$H$252</f>
        <v>312.435351759113</v>
      </c>
      <c r="H252" s="6" t="n">
        <f aca="false">calc!$Z$252</f>
        <v>-5.06081572792105</v>
      </c>
      <c r="I252" s="112" t="n">
        <f aca="false">10*H252</f>
        <v>-50.6081572792105</v>
      </c>
      <c r="J252" s="103" t="n">
        <f aca="false">ABS(ABS(F252-G252)-180)</f>
        <v>34.612322683217</v>
      </c>
      <c r="K252" s="6" t="str">
        <f aca="false">IF(ABS(J252)/11.31&lt;1,J252/11.31,"")</f>
        <v/>
      </c>
      <c r="L252" s="6" t="str">
        <f aca="false">IF(ABS(H252)/1.067&lt;1,H252,"")</f>
        <v/>
      </c>
      <c r="M252" s="107" t="str">
        <f aca="false">IF(OR(K252="",L252=""),"",ABS(K252)+ABS(L252))</f>
        <v/>
      </c>
    </row>
    <row r="253" customFormat="false" ht="17.75" hidden="false" customHeight="true" outlineLevel="0" collapsed="false">
      <c r="C253" s="2" t="n">
        <f aca="false">sol_ecl!$C$253</f>
        <v>9</v>
      </c>
      <c r="D253" s="2" t="n">
        <f aca="false">sol_ecl!$D$253</f>
        <v>9</v>
      </c>
      <c r="E253" s="102" t="n">
        <f aca="false">sol_ecl!$E$253</f>
        <v>252</v>
      </c>
      <c r="F253" s="6" t="n">
        <f aca="false">calc!$AN$253</f>
        <v>168.033321806202</v>
      </c>
      <c r="G253" s="16" t="n">
        <f aca="false">sol_ecl!$H$253</f>
        <v>327.118185439084</v>
      </c>
      <c r="H253" s="6" t="n">
        <f aca="false">calc!$Z$253</f>
        <v>-4.95900790005629</v>
      </c>
      <c r="I253" s="112" t="n">
        <f aca="false">10*H253</f>
        <v>-49.5900790005629</v>
      </c>
      <c r="J253" s="103" t="n">
        <f aca="false">ABS(ABS(F253-G253)-180)</f>
        <v>20.9151363671182</v>
      </c>
      <c r="K253" s="6" t="str">
        <f aca="false">IF(ABS(J253)/11.31&lt;1,J253/11.31,"")</f>
        <v/>
      </c>
      <c r="L253" s="6" t="str">
        <f aca="false">IF(ABS(H253)/1.067&lt;1,H253,"")</f>
        <v/>
      </c>
      <c r="M253" s="107" t="str">
        <f aca="false">IF(OR(K253="",L253=""),"",ABS(K253)+ABS(L253))</f>
        <v/>
      </c>
    </row>
    <row r="254" customFormat="false" ht="17.75" hidden="false" customHeight="true" outlineLevel="0" collapsed="false">
      <c r="C254" s="2" t="n">
        <f aca="false">sol_ecl!$C$254</f>
        <v>10</v>
      </c>
      <c r="D254" s="2" t="n">
        <f aca="false">sol_ecl!$D$254</f>
        <v>9</v>
      </c>
      <c r="E254" s="102" t="n">
        <f aca="false">sol_ecl!$E$254</f>
        <v>253</v>
      </c>
      <c r="F254" s="6" t="n">
        <f aca="false">calc!$AN$254</f>
        <v>169.018969170074</v>
      </c>
      <c r="G254" s="16" t="n">
        <f aca="false">sol_ecl!$H$254</f>
        <v>341.679985409982</v>
      </c>
      <c r="H254" s="6" t="n">
        <f aca="false">calc!$Z$254</f>
        <v>-4.53641559839145</v>
      </c>
      <c r="I254" s="112" t="n">
        <f aca="false">10*H254</f>
        <v>-45.3641559839145</v>
      </c>
      <c r="J254" s="103" t="n">
        <f aca="false">ABS(ABS(F254-G254)-180)</f>
        <v>7.33898376009239</v>
      </c>
      <c r="K254" s="6" t="n">
        <f aca="false">IF(ABS(J254)/11.31&lt;1,J254/11.31,"")</f>
        <v>0.648893347488275</v>
      </c>
      <c r="L254" s="6" t="str">
        <f aca="false">IF(ABS(H254)/1.067&lt;1,H254,"")</f>
        <v/>
      </c>
      <c r="M254" s="107" t="str">
        <f aca="false">IF(OR(K254="",L254=""),"",ABS(K254)+ABS(L254))</f>
        <v/>
      </c>
    </row>
    <row r="255" customFormat="false" ht="17.75" hidden="false" customHeight="true" outlineLevel="0" collapsed="false">
      <c r="C255" s="2" t="n">
        <f aca="false">sol_ecl!$C$255</f>
        <v>11</v>
      </c>
      <c r="D255" s="2" t="n">
        <f aca="false">sol_ecl!$D$255</f>
        <v>9</v>
      </c>
      <c r="E255" s="102" t="n">
        <f aca="false">sol_ecl!$E$255</f>
        <v>254</v>
      </c>
      <c r="F255" s="6" t="n">
        <f aca="false">calc!$AN$255</f>
        <v>170.004616533945</v>
      </c>
      <c r="G255" s="16" t="n">
        <f aca="false">sol_ecl!$H$255</f>
        <v>356.001108315742</v>
      </c>
      <c r="H255" s="6" t="n">
        <f aca="false">calc!$Z$255</f>
        <v>-3.83327860591486</v>
      </c>
      <c r="I255" s="112" t="n">
        <f aca="false">10*H255</f>
        <v>-38.3327860591486</v>
      </c>
      <c r="J255" s="103" t="n">
        <f aca="false">ABS(ABS(F255-G255)-180)</f>
        <v>5.99649178179783</v>
      </c>
      <c r="K255" s="6" t="n">
        <f aca="false">IF(ABS(J255)/11.31&lt;1,J255/11.31,"")</f>
        <v>0.530193791494061</v>
      </c>
      <c r="L255" s="6" t="str">
        <f aca="false">IF(ABS(H255)/1.067&lt;1,H255,"")</f>
        <v/>
      </c>
      <c r="M255" s="107" t="str">
        <f aca="false">IF(OR(K255="",L255=""),"",ABS(K255)+ABS(L255))</f>
        <v/>
      </c>
    </row>
    <row r="256" customFormat="false" ht="17.75" hidden="false" customHeight="true" outlineLevel="0" collapsed="false">
      <c r="C256" s="2" t="n">
        <f aca="false">sol_ecl!$C$256</f>
        <v>12</v>
      </c>
      <c r="D256" s="2" t="n">
        <f aca="false">sol_ecl!$D$256</f>
        <v>9</v>
      </c>
      <c r="E256" s="102" t="n">
        <f aca="false">sol_ecl!$E$256</f>
        <v>255</v>
      </c>
      <c r="F256" s="6" t="n">
        <f aca="false">calc!$AN$256</f>
        <v>170.990263897816</v>
      </c>
      <c r="G256" s="16" t="n">
        <f aca="false">sol_ecl!$H$256</f>
        <v>9.98296818791587</v>
      </c>
      <c r="H256" s="6" t="n">
        <f aca="false">calc!$Z$256</f>
        <v>-2.91207298652939</v>
      </c>
      <c r="I256" s="112" t="n">
        <f aca="false">10*H256</f>
        <v>-29.1207298652939</v>
      </c>
      <c r="J256" s="103" t="n">
        <f aca="false">ABS(ABS(F256-G256)-180)</f>
        <v>18.9927042900994</v>
      </c>
      <c r="K256" s="6" t="str">
        <f aca="false">IF(ABS(J256)/11.31&lt;1,J256/11.31,"")</f>
        <v/>
      </c>
      <c r="L256" s="6" t="str">
        <f aca="false">IF(ABS(H256)/1.067&lt;1,H256,"")</f>
        <v/>
      </c>
      <c r="M256" s="107" t="str">
        <f aca="false">IF(OR(K256="",L256=""),"",ABS(K256)+ABS(L256))</f>
        <v/>
      </c>
    </row>
    <row r="257" customFormat="false" ht="17.75" hidden="false" customHeight="true" outlineLevel="0" collapsed="false">
      <c r="C257" s="2" t="n">
        <f aca="false">sol_ecl!$C$257</f>
        <v>13</v>
      </c>
      <c r="D257" s="2" t="n">
        <f aca="false">sol_ecl!$D$257</f>
        <v>9</v>
      </c>
      <c r="E257" s="102" t="n">
        <f aca="false">sol_ecl!$E$257</f>
        <v>256</v>
      </c>
      <c r="F257" s="6" t="n">
        <f aca="false">calc!$AN$257</f>
        <v>171.975911261688</v>
      </c>
      <c r="G257" s="16" t="n">
        <f aca="false">sol_ecl!$H$257</f>
        <v>23.562314802278</v>
      </c>
      <c r="H257" s="6" t="n">
        <f aca="false">calc!$Z$257</f>
        <v>-1.84638245026183</v>
      </c>
      <c r="I257" s="112" t="n">
        <f aca="false">10*H257</f>
        <v>-18.4638245026183</v>
      </c>
      <c r="J257" s="103" t="n">
        <f aca="false">ABS(ABS(F257-G257)-180)</f>
        <v>31.5864035405895</v>
      </c>
      <c r="K257" s="6" t="str">
        <f aca="false">IF(ABS(J257)/11.31&lt;1,J257/11.31,"")</f>
        <v/>
      </c>
      <c r="L257" s="6" t="str">
        <f aca="false">IF(ABS(H257)/1.067&lt;1,H257,"")</f>
        <v/>
      </c>
      <c r="M257" s="107" t="str">
        <f aca="false">IF(OR(K257="",L257=""),"",ABS(K257)+ABS(L257))</f>
        <v/>
      </c>
    </row>
    <row r="258" customFormat="false" ht="17.75" hidden="false" customHeight="true" outlineLevel="0" collapsed="false">
      <c r="C258" s="2" t="n">
        <f aca="false">sol_ecl!$C$258</f>
        <v>14</v>
      </c>
      <c r="D258" s="2" t="n">
        <f aca="false">sol_ecl!$D$258</f>
        <v>9</v>
      </c>
      <c r="E258" s="102" t="n">
        <f aca="false">sol_ecl!$E$258</f>
        <v>257</v>
      </c>
      <c r="F258" s="6" t="n">
        <f aca="false">calc!$AN$258</f>
        <v>172.961558625562</v>
      </c>
      <c r="G258" s="16" t="n">
        <f aca="false">sol_ecl!$H$258</f>
        <v>36.7186622857941</v>
      </c>
      <c r="H258" s="6" t="n">
        <f aca="false">calc!$Z$258</f>
        <v>-0.709790538440304</v>
      </c>
      <c r="I258" s="112" t="n">
        <f aca="false">10*H258</f>
        <v>-7.09790538440304</v>
      </c>
      <c r="J258" s="103" t="n">
        <f aca="false">ABS(ABS(F258-G258)-180)</f>
        <v>43.7571036602319</v>
      </c>
      <c r="K258" s="6" t="str">
        <f aca="false">IF(ABS(J258)/11.31&lt;1,J258/11.31,"")</f>
        <v/>
      </c>
      <c r="L258" s="6" t="n">
        <f aca="false">IF(ABS(H258)/1.067&lt;1,H258,"")</f>
        <v>-0.709790538440304</v>
      </c>
      <c r="M258" s="107" t="str">
        <f aca="false">IF(OR(K258="",L258=""),"",ABS(K258)+ABS(L258))</f>
        <v/>
      </c>
    </row>
    <row r="259" customFormat="false" ht="17.75" hidden="false" customHeight="true" outlineLevel="0" collapsed="false">
      <c r="C259" s="2" t="n">
        <f aca="false">sol_ecl!$C$259</f>
        <v>15</v>
      </c>
      <c r="D259" s="2" t="n">
        <f aca="false">sol_ecl!$D$259</f>
        <v>9</v>
      </c>
      <c r="E259" s="102" t="n">
        <f aca="false">sol_ecl!$E$259</f>
        <v>258</v>
      </c>
      <c r="F259" s="6" t="n">
        <f aca="false">calc!$AN$259</f>
        <v>173.947205989434</v>
      </c>
      <c r="G259" s="16" t="n">
        <f aca="false">sol_ecl!$H$259</f>
        <v>49.4736723259138</v>
      </c>
      <c r="H259" s="6" t="n">
        <f aca="false">calc!$Z$259</f>
        <v>0.432044213841358</v>
      </c>
      <c r="I259" s="112" t="n">
        <f aca="false">10*H259</f>
        <v>4.32044213841358</v>
      </c>
      <c r="J259" s="103" t="n">
        <f aca="false">ABS(ABS(F259-G259)-180)</f>
        <v>55.5264663364796</v>
      </c>
      <c r="K259" s="6" t="str">
        <f aca="false">IF(ABS(J259)/11.31&lt;1,J259/11.31,"")</f>
        <v/>
      </c>
      <c r="L259" s="6" t="n">
        <f aca="false">IF(ABS(H259)/1.067&lt;1,H259,"")</f>
        <v>0.432044213841358</v>
      </c>
      <c r="M259" s="107" t="str">
        <f aca="false">IF(OR(K259="",L259=""),"",ABS(K259)+ABS(L259))</f>
        <v/>
      </c>
    </row>
    <row r="260" customFormat="false" ht="17.75" hidden="false" customHeight="true" outlineLevel="0" collapsed="false">
      <c r="C260" s="2" t="n">
        <f aca="false">sol_ecl!$C$260</f>
        <v>16</v>
      </c>
      <c r="D260" s="2" t="n">
        <f aca="false">sol_ecl!$D$260</f>
        <v>9</v>
      </c>
      <c r="E260" s="102" t="n">
        <f aca="false">sol_ecl!$E$260</f>
        <v>259</v>
      </c>
      <c r="F260" s="6" t="n">
        <f aca="false">calc!$AN$260</f>
        <v>174.932853353306</v>
      </c>
      <c r="G260" s="16" t="n">
        <f aca="false">sol_ecl!$H$260</f>
        <v>61.8835316223287</v>
      </c>
      <c r="H260" s="6" t="n">
        <f aca="false">calc!$Z$260</f>
        <v>1.52488862696102</v>
      </c>
      <c r="I260" s="112" t="n">
        <f aca="false">10*H260</f>
        <v>15.2488862696102</v>
      </c>
      <c r="J260" s="103" t="n">
        <f aca="false">ABS(ABS(F260-G260)-180)</f>
        <v>66.9506782690225</v>
      </c>
      <c r="K260" s="6" t="str">
        <f aca="false">IF(ABS(J260)/11.31&lt;1,J260/11.31,"")</f>
        <v/>
      </c>
      <c r="L260" s="6" t="str">
        <f aca="false">IF(ABS(H260)/1.067&lt;1,H260,"")</f>
        <v/>
      </c>
      <c r="M260" s="107" t="str">
        <f aca="false">IF(OR(K260="",L260=""),"",ABS(K260)+ABS(L260))</f>
        <v/>
      </c>
    </row>
    <row r="261" customFormat="false" ht="17.75" hidden="false" customHeight="true" outlineLevel="0" collapsed="false">
      <c r="C261" s="2" t="n">
        <f aca="false">sol_ecl!$C$261</f>
        <v>17</v>
      </c>
      <c r="D261" s="2" t="n">
        <f aca="false">sol_ecl!$D$261</f>
        <v>9</v>
      </c>
      <c r="E261" s="102" t="n">
        <f aca="false">sol_ecl!$E$261</f>
        <v>260</v>
      </c>
      <c r="F261" s="6" t="n">
        <f aca="false">calc!$AN$261</f>
        <v>175.91850071718</v>
      </c>
      <c r="G261" s="16" t="n">
        <f aca="false">sol_ecl!$H$261</f>
        <v>74.0270865447442</v>
      </c>
      <c r="H261" s="6" t="n">
        <f aca="false">calc!$Z$261</f>
        <v>2.52568977293218</v>
      </c>
      <c r="I261" s="112" t="n">
        <f aca="false">10*H261</f>
        <v>25.2568977293218</v>
      </c>
      <c r="J261" s="103" t="n">
        <f aca="false">ABS(ABS(F261-G261)-180)</f>
        <v>78.1085858275642</v>
      </c>
      <c r="K261" s="6" t="str">
        <f aca="false">IF(ABS(J261)/11.31&lt;1,J261/11.31,"")</f>
        <v/>
      </c>
      <c r="L261" s="6" t="str">
        <f aca="false">IF(ABS(H261)/1.067&lt;1,H261,"")</f>
        <v/>
      </c>
      <c r="M261" s="107" t="str">
        <f aca="false">IF(OR(K261="",L261=""),"",ABS(K261)+ABS(L261))</f>
        <v/>
      </c>
    </row>
    <row r="262" customFormat="false" ht="17.75" hidden="false" customHeight="true" outlineLevel="0" collapsed="false">
      <c r="C262" s="2" t="n">
        <f aca="false">sol_ecl!$C$262</f>
        <v>18</v>
      </c>
      <c r="D262" s="2" t="n">
        <f aca="false">sol_ecl!$D$262</f>
        <v>9</v>
      </c>
      <c r="E262" s="102" t="n">
        <f aca="false">sol_ecl!$E$262</f>
        <v>261</v>
      </c>
      <c r="F262" s="6" t="n">
        <f aca="false">calc!$AN$262</f>
        <v>176.904148081054</v>
      </c>
      <c r="G262" s="16" t="n">
        <f aca="false">sol_ecl!$H$262</f>
        <v>85.993174446435</v>
      </c>
      <c r="H262" s="6" t="n">
        <f aca="false">calc!$Z$262</f>
        <v>3.40027106254943</v>
      </c>
      <c r="I262" s="112" t="n">
        <f aca="false">10*H262</f>
        <v>34.0027106254943</v>
      </c>
      <c r="J262" s="103" t="n">
        <f aca="false">ABS(ABS(F262-G262)-180)</f>
        <v>89.0890263653812</v>
      </c>
      <c r="K262" s="6" t="str">
        <f aca="false">IF(ABS(J262)/11.31&lt;1,J262/11.31,"")</f>
        <v/>
      </c>
      <c r="L262" s="6" t="str">
        <f aca="false">IF(ABS(H262)/1.067&lt;1,H262,"")</f>
        <v/>
      </c>
      <c r="M262" s="107" t="str">
        <f aca="false">IF(OR(K262="",L262=""),"",ABS(K262)+ABS(L262))</f>
        <v/>
      </c>
    </row>
    <row r="263" customFormat="false" ht="17.75" hidden="false" customHeight="true" outlineLevel="0" collapsed="false">
      <c r="C263" s="2" t="n">
        <f aca="false">sol_ecl!$C$263</f>
        <v>19</v>
      </c>
      <c r="D263" s="2" t="n">
        <f aca="false">sol_ecl!$D$263</f>
        <v>9</v>
      </c>
      <c r="E263" s="102" t="n">
        <f aca="false">sol_ecl!$E$263</f>
        <v>262</v>
      </c>
      <c r="F263" s="6" t="n">
        <f aca="false">calc!$AN$263</f>
        <v>177.889795444929</v>
      </c>
      <c r="G263" s="16" t="n">
        <f aca="false">sol_ecl!$H$263</f>
        <v>97.8700952061703</v>
      </c>
      <c r="H263" s="6" t="n">
        <f aca="false">calc!$Z$263</f>
        <v>4.12063477168085</v>
      </c>
      <c r="I263" s="112" t="n">
        <f aca="false">10*H263</f>
        <v>41.2063477168085</v>
      </c>
      <c r="J263" s="103" t="n">
        <f aca="false">ABS(ABS(F263-G263)-180)</f>
        <v>99.9802997612409</v>
      </c>
      <c r="K263" s="6" t="str">
        <f aca="false">IF(ABS(J263)/11.31&lt;1,J263/11.31,"")</f>
        <v/>
      </c>
      <c r="L263" s="6" t="str">
        <f aca="false">IF(ABS(H263)/1.067&lt;1,H263,"")</f>
        <v/>
      </c>
      <c r="M263" s="107" t="str">
        <f aca="false">IF(OR(K263="",L263=""),"",ABS(K263)+ABS(L263))</f>
        <v/>
      </c>
    </row>
    <row r="264" customFormat="false" ht="17.75" hidden="false" customHeight="true" outlineLevel="0" collapsed="false">
      <c r="C264" s="2" t="n">
        <f aca="false">sol_ecl!$C$264</f>
        <v>20</v>
      </c>
      <c r="D264" s="2" t="n">
        <f aca="false">sol_ecl!$D$264</f>
        <v>9</v>
      </c>
      <c r="E264" s="102" t="n">
        <f aca="false">sol_ecl!$E$264</f>
        <v>263</v>
      </c>
      <c r="F264" s="6" t="n">
        <f aca="false">calc!$AN$264</f>
        <v>178.875442808803</v>
      </c>
      <c r="G264" s="16" t="n">
        <f aca="false">sol_ecl!$H$264</f>
        <v>109.738808655703</v>
      </c>
      <c r="H264" s="6" t="n">
        <f aca="false">calc!$Z$264</f>
        <v>4.6629230651851</v>
      </c>
      <c r="I264" s="112" t="n">
        <f aca="false">10*H264</f>
        <v>46.629230651851</v>
      </c>
      <c r="J264" s="103" t="n">
        <f aca="false">ABS(ABS(F264-G264)-180)</f>
        <v>110.863365846899</v>
      </c>
      <c r="K264" s="6" t="str">
        <f aca="false">IF(ABS(J264)/11.31&lt;1,J264/11.31,"")</f>
        <v/>
      </c>
      <c r="L264" s="6" t="str">
        <f aca="false">IF(ABS(H264)/1.067&lt;1,H264,"")</f>
        <v/>
      </c>
      <c r="M264" s="107" t="str">
        <f aca="false">IF(OR(K264="",L264=""),"",ABS(K264)+ABS(L264))</f>
        <v/>
      </c>
    </row>
    <row r="265" customFormat="false" ht="17.75" hidden="false" customHeight="true" outlineLevel="0" collapsed="false">
      <c r="C265" s="2" t="n">
        <f aca="false">sol_ecl!$C$265</f>
        <v>21</v>
      </c>
      <c r="D265" s="2" t="n">
        <f aca="false">sol_ecl!$D$265</f>
        <v>9</v>
      </c>
      <c r="E265" s="102" t="n">
        <f aca="false">sol_ecl!$E$265</f>
        <v>264</v>
      </c>
      <c r="F265" s="6" t="n">
        <f aca="false">calc!$AN$265</f>
        <v>179.861090172681</v>
      </c>
      <c r="G265" s="16" t="n">
        <f aca="false">sol_ecl!$H$265</f>
        <v>121.669826217121</v>
      </c>
      <c r="H265" s="6" t="n">
        <f aca="false">calc!$Z$265</f>
        <v>5.00642289986796</v>
      </c>
      <c r="I265" s="112" t="n">
        <f aca="false">10*H265</f>
        <v>50.0642289986796</v>
      </c>
      <c r="J265" s="103" t="n">
        <f aca="false">ABS(ABS(F265-G265)-180)</f>
        <v>121.808736044441</v>
      </c>
      <c r="K265" s="6" t="str">
        <f aca="false">IF(ABS(J265)/11.31&lt;1,J265/11.31,"")</f>
        <v/>
      </c>
      <c r="L265" s="6" t="str">
        <f aca="false">IF(ABS(H265)/1.067&lt;1,H265,"")</f>
        <v/>
      </c>
      <c r="M265" s="107" t="str">
        <f aca="false">IF(OR(K265="",L265=""),"",ABS(K265)+ABS(L265))</f>
        <v/>
      </c>
    </row>
    <row r="266" customFormat="false" ht="17.75" hidden="false" customHeight="true" outlineLevel="0" collapsed="false">
      <c r="C266" s="2" t="n">
        <f aca="false">sol_ecl!$C$266</f>
        <v>22</v>
      </c>
      <c r="D266" s="2" t="n">
        <f aca="false">sol_ecl!$D$266</f>
        <v>9</v>
      </c>
      <c r="E266" s="102" t="n">
        <f aca="false">sol_ecl!$E$266</f>
        <v>265</v>
      </c>
      <c r="F266" s="6" t="n">
        <f aca="false">calc!$AN$266</f>
        <v>180.846737536558</v>
      </c>
      <c r="G266" s="16" t="n">
        <f aca="false">sol_ecl!$H$266</f>
        <v>133.722531177575</v>
      </c>
      <c r="H266" s="6" t="n">
        <f aca="false">calc!$Z$266</f>
        <v>5.13361240932328</v>
      </c>
      <c r="I266" s="112" t="n">
        <f aca="false">10*H266</f>
        <v>51.3361240932328</v>
      </c>
      <c r="J266" s="103" t="n">
        <f aca="false">ABS(ABS(F266-G266)-180)</f>
        <v>132.875793641017</v>
      </c>
      <c r="K266" s="6" t="str">
        <f aca="false">IF(ABS(J266)/11.31&lt;1,J266/11.31,"")</f>
        <v/>
      </c>
      <c r="L266" s="6" t="str">
        <f aca="false">IF(ABS(H266)/1.067&lt;1,H266,"")</f>
        <v/>
      </c>
      <c r="M266" s="107" t="str">
        <f aca="false">IF(OR(K266="",L266=""),"",ABS(K266)+ABS(L266))</f>
        <v/>
      </c>
    </row>
    <row r="267" customFormat="false" ht="17.75" hidden="false" customHeight="true" outlineLevel="0" collapsed="false">
      <c r="C267" s="2" t="n">
        <f aca="false">sol_ecl!$C$267</f>
        <v>23</v>
      </c>
      <c r="D267" s="2" t="n">
        <f aca="false">sol_ecl!$D$267</f>
        <v>9</v>
      </c>
      <c r="E267" s="102" t="n">
        <f aca="false">sol_ecl!$E$267</f>
        <v>266</v>
      </c>
      <c r="F267" s="6" t="n">
        <f aca="false">calc!$AN$267</f>
        <v>181.832384900434</v>
      </c>
      <c r="G267" s="16" t="n">
        <f aca="false">sol_ecl!$H$267</f>
        <v>145.945238076671</v>
      </c>
      <c r="H267" s="6" t="n">
        <f aca="false">calc!$Z$267</f>
        <v>5.03117416142519</v>
      </c>
      <c r="I267" s="112" t="n">
        <f aca="false">10*H267</f>
        <v>50.3117416142519</v>
      </c>
      <c r="J267" s="103" t="n">
        <f aca="false">ABS(ABS(F267-G267)-180)</f>
        <v>144.112853176238</v>
      </c>
      <c r="K267" s="6" t="str">
        <f aca="false">IF(ABS(J267)/11.31&lt;1,J267/11.31,"")</f>
        <v/>
      </c>
      <c r="L267" s="6" t="str">
        <f aca="false">IF(ABS(H267)/1.067&lt;1,H267,"")</f>
        <v/>
      </c>
      <c r="M267" s="107" t="str">
        <f aca="false">IF(OR(K267="",L267=""),"",ABS(K267)+ABS(L267))</f>
        <v/>
      </c>
    </row>
    <row r="268" customFormat="false" ht="17.75" hidden="false" customHeight="true" outlineLevel="0" collapsed="false">
      <c r="C268" s="2" t="n">
        <f aca="false">sol_ecl!$C$268</f>
        <v>24</v>
      </c>
      <c r="D268" s="2" t="n">
        <f aca="false">sol_ecl!$D$268</f>
        <v>9</v>
      </c>
      <c r="E268" s="102" t="n">
        <f aca="false">sol_ecl!$E$268</f>
        <v>267</v>
      </c>
      <c r="F268" s="6" t="n">
        <f aca="false">calc!$AN$268</f>
        <v>182.818032264311</v>
      </c>
      <c r="G268" s="16" t="n">
        <f aca="false">sol_ecl!$H$268</f>
        <v>158.374740299578</v>
      </c>
      <c r="H268" s="6" t="n">
        <f aca="false">calc!$Z$268</f>
        <v>4.69195426355249</v>
      </c>
      <c r="I268" s="112" t="n">
        <f aca="false">10*H268</f>
        <v>46.9195426355249</v>
      </c>
      <c r="J268" s="103" t="n">
        <f aca="false">ABS(ABS(F268-G268)-180)</f>
        <v>155.556708035267</v>
      </c>
      <c r="K268" s="6" t="str">
        <f aca="false">IF(ABS(J268)/11.31&lt;1,J268/11.31,"")</f>
        <v/>
      </c>
      <c r="L268" s="6" t="str">
        <f aca="false">IF(ABS(H268)/1.067&lt;1,H268,"")</f>
        <v/>
      </c>
      <c r="M268" s="107" t="str">
        <f aca="false">IF(OR(K268="",L268=""),"",ABS(K268)+ABS(L268))</f>
        <v/>
      </c>
    </row>
    <row r="269" customFormat="false" ht="17.75" hidden="false" customHeight="true" outlineLevel="0" collapsed="false">
      <c r="C269" s="2" t="n">
        <f aca="false">sol_ecl!$C$269</f>
        <v>25</v>
      </c>
      <c r="D269" s="2" t="n">
        <f aca="false">sol_ecl!$D$269</f>
        <v>9</v>
      </c>
      <c r="E269" s="102" t="n">
        <f aca="false">sol_ecl!$E$269</f>
        <v>268</v>
      </c>
      <c r="F269" s="6" t="n">
        <f aca="false">calc!$AN$269</f>
        <v>183.803679628189</v>
      </c>
      <c r="G269" s="16" t="n">
        <f aca="false">sol_ecl!$H$269</f>
        <v>171.035077507749</v>
      </c>
      <c r="H269" s="6" t="n">
        <f aca="false">calc!$Z$269</f>
        <v>4.11777296505744</v>
      </c>
      <c r="I269" s="112" t="n">
        <f aca="false">10*H269</f>
        <v>41.1777296505744</v>
      </c>
      <c r="J269" s="103" t="n">
        <f aca="false">ABS(ABS(F269-G269)-180)</f>
        <v>167.23139787956</v>
      </c>
      <c r="K269" s="6" t="str">
        <f aca="false">IF(ABS(J269)/11.31&lt;1,J269/11.31,"")</f>
        <v/>
      </c>
      <c r="L269" s="6" t="str">
        <f aca="false">IF(ABS(H269)/1.067&lt;1,H269,"")</f>
        <v/>
      </c>
      <c r="M269" s="107" t="str">
        <f aca="false">IF(OR(K269="",L269=""),"",ABS(K269)+ABS(L269))</f>
        <v/>
      </c>
    </row>
    <row r="270" customFormat="false" ht="17.75" hidden="false" customHeight="true" outlineLevel="0" collapsed="false">
      <c r="C270" s="2" t="n">
        <f aca="false">sol_ecl!$C$270</f>
        <v>26</v>
      </c>
      <c r="D270" s="2" t="n">
        <f aca="false">sol_ecl!$D$270</f>
        <v>9</v>
      </c>
      <c r="E270" s="102" t="n">
        <f aca="false">sol_ecl!$E$270</f>
        <v>269</v>
      </c>
      <c r="F270" s="6" t="n">
        <f aca="false">calc!$AN$270</f>
        <v>184.789326992064</v>
      </c>
      <c r="G270" s="16" t="n">
        <f aca="false">sol_ecl!$H$270</f>
        <v>183.936247926115</v>
      </c>
      <c r="H270" s="6" t="n">
        <f aca="false">calc!$Z$270</f>
        <v>3.32266460333891</v>
      </c>
      <c r="I270" s="112" t="n">
        <f aca="false">10*H270</f>
        <v>33.2266460333891</v>
      </c>
      <c r="J270" s="103" t="n">
        <f aca="false">ABS(ABS(F270-G270)-180)</f>
        <v>179.146920934051</v>
      </c>
      <c r="K270" s="6" t="str">
        <f aca="false">IF(ABS(J270)/11.31&lt;1,J270/11.31,"")</f>
        <v/>
      </c>
      <c r="L270" s="6" t="str">
        <f aca="false">IF(ABS(H270)/1.067&lt;1,H270,"")</f>
        <v/>
      </c>
      <c r="M270" s="107" t="str">
        <f aca="false">IF(OR(K270="",L270=""),"",ABS(K270)+ABS(L270))</f>
        <v/>
      </c>
    </row>
    <row r="271" customFormat="false" ht="17.75" hidden="false" customHeight="true" outlineLevel="0" collapsed="false">
      <c r="C271" s="2" t="n">
        <f aca="false">sol_ecl!$C$271</f>
        <v>27</v>
      </c>
      <c r="D271" s="2" t="n">
        <f aca="false">sol_ecl!$D$271</f>
        <v>9</v>
      </c>
      <c r="E271" s="102" t="n">
        <f aca="false">sol_ecl!$E$271</f>
        <v>270</v>
      </c>
      <c r="F271" s="6" t="n">
        <f aca="false">calc!$AN$271</f>
        <v>185.774974355943</v>
      </c>
      <c r="G271" s="16" t="n">
        <f aca="false">sol_ecl!$H$271</f>
        <v>197.07408896671</v>
      </c>
      <c r="H271" s="6" t="n">
        <f aca="false">calc!$Z$271</f>
        <v>2.33566104846765</v>
      </c>
      <c r="I271" s="112" t="n">
        <f aca="false">10*H271</f>
        <v>23.3566104846765</v>
      </c>
      <c r="J271" s="103" t="n">
        <f aca="false">ABS(ABS(F271-G271)-180)</f>
        <v>168.700885389234</v>
      </c>
      <c r="K271" s="6" t="str">
        <f aca="false">IF(ABS(J271)/11.31&lt;1,J271/11.31,"")</f>
        <v/>
      </c>
      <c r="L271" s="6" t="str">
        <f aca="false">IF(ABS(H271)/1.067&lt;1,H271,"")</f>
        <v/>
      </c>
      <c r="M271" s="107" t="str">
        <f aca="false">IF(OR(K271="",L271=""),"",ABS(K271)+ABS(L271))</f>
        <v/>
      </c>
    </row>
    <row r="272" customFormat="false" ht="17.75" hidden="false" customHeight="true" outlineLevel="0" collapsed="false">
      <c r="C272" s="2" t="n">
        <f aca="false">sol_ecl!$C$272</f>
        <v>28</v>
      </c>
      <c r="D272" s="2" t="n">
        <f aca="false">sol_ecl!$D$272</f>
        <v>9</v>
      </c>
      <c r="E272" s="102" t="n">
        <f aca="false">sol_ecl!$E$272</f>
        <v>271</v>
      </c>
      <c r="F272" s="6" t="n">
        <f aca="false">calc!$AN$272</f>
        <v>186.760621719823</v>
      </c>
      <c r="G272" s="16" t="n">
        <f aca="false">sol_ecl!$H$272</f>
        <v>210.43229788039</v>
      </c>
      <c r="H272" s="6" t="n">
        <f aca="false">calc!$Z$272</f>
        <v>1.20196270353243</v>
      </c>
      <c r="I272" s="112" t="n">
        <f aca="false">10*H272</f>
        <v>12.0196270353243</v>
      </c>
      <c r="J272" s="103" t="n">
        <f aca="false">ABS(ABS(F272-G272)-180)</f>
        <v>156.328323839433</v>
      </c>
      <c r="K272" s="6" t="str">
        <f aca="false">IF(ABS(J272)/11.31&lt;1,J272/11.31,"")</f>
        <v/>
      </c>
      <c r="L272" s="6" t="str">
        <f aca="false">IF(ABS(H272)/1.067&lt;1,H272,"")</f>
        <v/>
      </c>
      <c r="M272" s="107" t="str">
        <f aca="false">IF(OR(K272="",L272=""),"",ABS(K272)+ABS(L272))</f>
        <v/>
      </c>
    </row>
    <row r="273" customFormat="false" ht="17.75" hidden="false" customHeight="true" outlineLevel="0" collapsed="false">
      <c r="C273" s="2" t="n">
        <f aca="false">sol_ecl!$C$273</f>
        <v>29</v>
      </c>
      <c r="D273" s="2" t="n">
        <f aca="false">sol_ecl!$D$273</f>
        <v>9</v>
      </c>
      <c r="E273" s="102" t="n">
        <f aca="false">sol_ecl!$E$273</f>
        <v>272</v>
      </c>
      <c r="F273" s="6" t="n">
        <f aca="false">calc!$AN$273</f>
        <v>187.746269083702</v>
      </c>
      <c r="G273" s="16" t="n">
        <f aca="false">sol_ecl!$H$273</f>
        <v>223.986667552244</v>
      </c>
      <c r="H273" s="6" t="n">
        <f aca="false">calc!$Z$273</f>
        <v>-0.0184124435126651</v>
      </c>
      <c r="I273" s="112" t="n">
        <f aca="false">10*H273</f>
        <v>-0.184124435126651</v>
      </c>
      <c r="J273" s="103" t="n">
        <f aca="false">ABS(ABS(F273-G273)-180)</f>
        <v>143.759601531458</v>
      </c>
      <c r="K273" s="6" t="str">
        <f aca="false">IF(ABS(J273)/11.31&lt;1,J273/11.31,"")</f>
        <v/>
      </c>
      <c r="L273" s="6" t="n">
        <f aca="false">IF(ABS(H273)/1.067&lt;1,H273,"")</f>
        <v>-0.0184124435126651</v>
      </c>
      <c r="M273" s="107" t="str">
        <f aca="false">IF(OR(K273="",L273=""),"",ABS(K273)+ABS(L273))</f>
        <v/>
      </c>
    </row>
    <row r="274" customFormat="false" ht="17.75" hidden="false" customHeight="true" outlineLevel="0" collapsed="false">
      <c r="C274" s="2" t="n">
        <f aca="false">sol_ecl!$C$274</f>
        <v>30</v>
      </c>
      <c r="D274" s="2" t="n">
        <f aca="false">sol_ecl!$D$274</f>
        <v>9</v>
      </c>
      <c r="E274" s="102" t="n">
        <f aca="false">sol_ecl!$E$274</f>
        <v>273</v>
      </c>
      <c r="F274" s="6" t="n">
        <f aca="false">calc!$AN$274</f>
        <v>188.731916447581</v>
      </c>
      <c r="G274" s="16" t="n">
        <f aca="false">sol_ecl!$H$274</f>
        <v>237.710489223679</v>
      </c>
      <c r="H274" s="6" t="n">
        <f aca="false">calc!$Z$274</f>
        <v>-1.2546215738372</v>
      </c>
      <c r="I274" s="112" t="n">
        <f aca="false">10*H274</f>
        <v>-12.546215738372</v>
      </c>
      <c r="J274" s="103" t="n">
        <f aca="false">ABS(ABS(F274-G274)-180)</f>
        <v>131.021427223902</v>
      </c>
      <c r="K274" s="6" t="str">
        <f aca="false">IF(ABS(J274)/11.31&lt;1,J274/11.31,"")</f>
        <v/>
      </c>
      <c r="L274" s="6" t="str">
        <f aca="false">IF(ABS(H274)/1.067&lt;1,H274,"")</f>
        <v/>
      </c>
      <c r="M274" s="107" t="str">
        <f aca="false">IF(OR(K274="",L274=""),"",ABS(K274)+ABS(L274))</f>
        <v/>
      </c>
    </row>
    <row r="275" customFormat="false" ht="17.75" hidden="false" customHeight="true" outlineLevel="0" collapsed="false">
      <c r="C275" s="2" t="n">
        <f aca="false">sol_ecl!$C$275</f>
        <v>1</v>
      </c>
      <c r="D275" s="2" t="n">
        <f aca="false">sol_ecl!$D$275</f>
        <v>10</v>
      </c>
      <c r="E275" s="102" t="n">
        <f aca="false">sol_ecl!$E$275</f>
        <v>274</v>
      </c>
      <c r="F275" s="6" t="n">
        <f aca="false">calc!$AN$275</f>
        <v>189.717563811462</v>
      </c>
      <c r="G275" s="16" t="n">
        <f aca="false">sol_ecl!$H$275</f>
        <v>251.579269013405</v>
      </c>
      <c r="H275" s="6" t="n">
        <f aca="false">calc!$Z$275</f>
        <v>-2.4308106415102</v>
      </c>
      <c r="I275" s="112" t="n">
        <f aca="false">10*H275</f>
        <v>-24.308106415102</v>
      </c>
      <c r="J275" s="103" t="n">
        <f aca="false">ABS(ABS(F275-G275)-180)</f>
        <v>118.138294798058</v>
      </c>
      <c r="K275" s="6" t="str">
        <f aca="false">IF(ABS(J275)/11.31&lt;1,J275/11.31,"")</f>
        <v/>
      </c>
      <c r="L275" s="6" t="str">
        <f aca="false">IF(ABS(H275)/1.067&lt;1,H275,"")</f>
        <v/>
      </c>
      <c r="M275" s="107" t="str">
        <f aca="false">IF(OR(K275="",L275=""),"",ABS(K275)+ABS(L275))</f>
        <v/>
      </c>
    </row>
    <row r="276" customFormat="false" ht="17.75" hidden="false" customHeight="true" outlineLevel="0" collapsed="false">
      <c r="C276" s="2" t="n">
        <f aca="false">sol_ecl!$C$276</f>
        <v>2</v>
      </c>
      <c r="D276" s="2" t="n">
        <f aca="false">sol_ecl!$D$276</f>
        <v>10</v>
      </c>
      <c r="E276" s="102" t="n">
        <f aca="false">sol_ecl!$E$276</f>
        <v>275</v>
      </c>
      <c r="F276" s="6" t="n">
        <f aca="false">calc!$AN$276</f>
        <v>190.703211175343</v>
      </c>
      <c r="G276" s="16" t="n">
        <f aca="false">sol_ecl!$H$276</f>
        <v>265.572847804449</v>
      </c>
      <c r="H276" s="6" t="n">
        <f aca="false">calc!$Z$276</f>
        <v>-3.47241943770793</v>
      </c>
      <c r="I276" s="112" t="n">
        <f aca="false">10*H276</f>
        <v>-34.7241943770793</v>
      </c>
      <c r="J276" s="103" t="n">
        <f aca="false">ABS(ABS(F276-G276)-180)</f>
        <v>105.130363370894</v>
      </c>
      <c r="K276" s="6" t="str">
        <f aca="false">IF(ABS(J276)/11.31&lt;1,J276/11.31,"")</f>
        <v/>
      </c>
      <c r="L276" s="6" t="str">
        <f aca="false">IF(ABS(H276)/1.067&lt;1,H276,"")</f>
        <v/>
      </c>
      <c r="M276" s="107" t="str">
        <f aca="false">IF(OR(K276="",L276=""),"",ABS(K276)+ABS(L276))</f>
        <v/>
      </c>
    </row>
    <row r="277" customFormat="false" ht="17.75" hidden="false" customHeight="true" outlineLevel="0" collapsed="false">
      <c r="C277" s="2" t="n">
        <f aca="false">sol_ecl!$C$277</f>
        <v>3</v>
      </c>
      <c r="D277" s="2" t="n">
        <f aca="false">sol_ecl!$D$277</f>
        <v>10</v>
      </c>
      <c r="E277" s="102" t="n">
        <f aca="false">sol_ecl!$E$277</f>
        <v>276</v>
      </c>
      <c r="F277" s="6" t="n">
        <f aca="false">calc!$AN$277</f>
        <v>191.688858539224</v>
      </c>
      <c r="G277" s="16" t="n">
        <f aca="false">sol_ecl!$H$277</f>
        <v>279.6738206402</v>
      </c>
      <c r="H277" s="6" t="n">
        <f aca="false">calc!$Z$277</f>
        <v>-4.31189163161484</v>
      </c>
      <c r="I277" s="112" t="n">
        <f aca="false">10*H277</f>
        <v>-43.1189163161484</v>
      </c>
      <c r="J277" s="103" t="n">
        <f aca="false">ABS(ABS(F277-G277)-180)</f>
        <v>92.0150378990249</v>
      </c>
      <c r="K277" s="6" t="str">
        <f aca="false">IF(ABS(J277)/11.31&lt;1,J277/11.31,"")</f>
        <v/>
      </c>
      <c r="L277" s="6" t="str">
        <f aca="false">IF(ABS(H277)/1.067&lt;1,H277,"")</f>
        <v/>
      </c>
      <c r="M277" s="107" t="str">
        <f aca="false">IF(OR(K277="",L277=""),"",ABS(K277)+ABS(L277))</f>
        <v/>
      </c>
    </row>
    <row r="278" customFormat="false" ht="17.75" hidden="false" customHeight="true" outlineLevel="0" collapsed="false">
      <c r="C278" s="2" t="n">
        <f aca="false">sol_ecl!$C$278</f>
        <v>4</v>
      </c>
      <c r="D278" s="2" t="n">
        <f aca="false">sol_ecl!$D$278</f>
        <v>10</v>
      </c>
      <c r="E278" s="102" t="n">
        <f aca="false">sol_ecl!$E$278</f>
        <v>277</v>
      </c>
      <c r="F278" s="6" t="n">
        <f aca="false">calc!$AN$278</f>
        <v>192.674505903105</v>
      </c>
      <c r="G278" s="16" t="n">
        <f aca="false">sol_ecl!$H$278</f>
        <v>293.862559932684</v>
      </c>
      <c r="H278" s="6" t="n">
        <f aca="false">calc!$Z$278</f>
        <v>-4.89345979091708</v>
      </c>
      <c r="I278" s="112" t="n">
        <f aca="false">10*H278</f>
        <v>-48.9345979091708</v>
      </c>
      <c r="J278" s="103" t="n">
        <f aca="false">ABS(ABS(F278-G278)-180)</f>
        <v>78.8119459704219</v>
      </c>
      <c r="K278" s="6" t="str">
        <f aca="false">IF(ABS(J278)/11.31&lt;1,J278/11.31,"")</f>
        <v/>
      </c>
      <c r="L278" s="6" t="str">
        <f aca="false">IF(ABS(H278)/1.067&lt;1,H278,"")</f>
        <v/>
      </c>
      <c r="M278" s="107" t="str">
        <f aca="false">IF(OR(K278="",L278=""),"",ABS(K278)+ABS(L278))</f>
        <v/>
      </c>
    </row>
    <row r="279" customFormat="false" ht="17.75" hidden="false" customHeight="true" outlineLevel="0" collapsed="false">
      <c r="C279" s="2" t="n">
        <f aca="false">sol_ecl!$C$279</f>
        <v>5</v>
      </c>
      <c r="D279" s="2" t="n">
        <f aca="false">sol_ecl!$D$279</f>
        <v>10</v>
      </c>
      <c r="E279" s="102" t="n">
        <f aca="false">sol_ecl!$E$279</f>
        <v>278</v>
      </c>
      <c r="F279" s="6" t="n">
        <f aca="false">calc!$AN$279</f>
        <v>193.660153266988</v>
      </c>
      <c r="G279" s="16" t="n">
        <f aca="false">sol_ecl!$H$279</f>
        <v>308.1106114284</v>
      </c>
      <c r="H279" s="6" t="n">
        <f aca="false">calc!$Z$279</f>
        <v>-5.17731046224389</v>
      </c>
      <c r="I279" s="112" t="n">
        <f aca="false">10*H279</f>
        <v>-51.7731046224389</v>
      </c>
      <c r="J279" s="103" t="n">
        <f aca="false">ABS(ABS(F279-G279)-180)</f>
        <v>65.5495418385882</v>
      </c>
      <c r="K279" s="6" t="str">
        <f aca="false">IF(ABS(J279)/11.31&lt;1,J279/11.31,"")</f>
        <v/>
      </c>
      <c r="L279" s="6" t="str">
        <f aca="false">IF(ABS(H279)/1.067&lt;1,H279,"")</f>
        <v/>
      </c>
      <c r="M279" s="107" t="str">
        <f aca="false">IF(OR(K279="",L279=""),"",ABS(K279)+ABS(L279))</f>
        <v/>
      </c>
    </row>
    <row r="280" customFormat="false" ht="17.75" hidden="false" customHeight="true" outlineLevel="0" collapsed="false">
      <c r="C280" s="2" t="n">
        <f aca="false">sol_ecl!$C$280</f>
        <v>6</v>
      </c>
      <c r="D280" s="2" t="n">
        <f aca="false">sol_ecl!$D$280</f>
        <v>10</v>
      </c>
      <c r="E280" s="102" t="n">
        <f aca="false">sol_ecl!$E$280</f>
        <v>279</v>
      </c>
      <c r="F280" s="6" t="n">
        <f aca="false">calc!$AN$280</f>
        <v>194.645800630871</v>
      </c>
      <c r="G280" s="16" t="n">
        <f aca="false">sol_ecl!$H$280</f>
        <v>322.375144736873</v>
      </c>
      <c r="H280" s="6" t="n">
        <f aca="false">calc!$Z$280</f>
        <v>-5.14340962238135</v>
      </c>
      <c r="I280" s="112" t="n">
        <f aca="false">10*H280</f>
        <v>-51.4340962238135</v>
      </c>
      <c r="J280" s="103" t="n">
        <f aca="false">ABS(ABS(F280-G280)-180)</f>
        <v>52.2706558939983</v>
      </c>
      <c r="K280" s="6" t="str">
        <f aca="false">IF(ABS(J280)/11.31&lt;1,J280/11.31,"")</f>
        <v/>
      </c>
      <c r="L280" s="6" t="str">
        <f aca="false">IF(ABS(H280)/1.067&lt;1,H280,"")</f>
        <v/>
      </c>
      <c r="M280" s="107" t="str">
        <f aca="false">IF(OR(K280="",L280=""),"",ABS(K280)+ABS(L280))</f>
        <v/>
      </c>
    </row>
    <row r="281" customFormat="false" ht="17.75" hidden="false" customHeight="true" outlineLevel="0" collapsed="false">
      <c r="C281" s="2" t="n">
        <f aca="false">sol_ecl!$C$281</f>
        <v>7</v>
      </c>
      <c r="D281" s="2" t="n">
        <f aca="false">sol_ecl!$D$281</f>
        <v>10</v>
      </c>
      <c r="E281" s="102" t="n">
        <f aca="false">sol_ecl!$E$281</f>
        <v>280</v>
      </c>
      <c r="F281" s="6" t="n">
        <f aca="false">calc!$AN$281</f>
        <v>195.631447994752</v>
      </c>
      <c r="G281" s="16" t="n">
        <f aca="false">sol_ecl!$H$281</f>
        <v>336.597083267367</v>
      </c>
      <c r="H281" s="6" t="n">
        <f aca="false">calc!$Z$281</f>
        <v>-4.79457675224573</v>
      </c>
      <c r="I281" s="112" t="n">
        <f aca="false">10*H281</f>
        <v>-47.9457675224573</v>
      </c>
      <c r="J281" s="103" t="n">
        <f aca="false">ABS(ABS(F281-G281)-180)</f>
        <v>39.0343647273858</v>
      </c>
      <c r="K281" s="6" t="str">
        <f aca="false">IF(ABS(J281)/11.31&lt;1,J281/11.31,"")</f>
        <v/>
      </c>
      <c r="L281" s="6" t="str">
        <f aca="false">IF(ABS(H281)/1.067&lt;1,H281,"")</f>
        <v/>
      </c>
      <c r="M281" s="107" t="str">
        <f aca="false">IF(OR(K281="",L281=""),"",ABS(K281)+ABS(L281))</f>
        <v/>
      </c>
    </row>
    <row r="282" customFormat="false" ht="17.75" hidden="false" customHeight="true" outlineLevel="0" collapsed="false">
      <c r="C282" s="2" t="n">
        <f aca="false">sol_ecl!$C$282</f>
        <v>8</v>
      </c>
      <c r="D282" s="2" t="n">
        <f aca="false">sol_ecl!$D$282</f>
        <v>10</v>
      </c>
      <c r="E282" s="102" t="n">
        <f aca="false">sol_ecl!$E$282</f>
        <v>281</v>
      </c>
      <c r="F282" s="6" t="n">
        <f aca="false">calc!$AN$282</f>
        <v>196.617095358637</v>
      </c>
      <c r="G282" s="16" t="n">
        <f aca="false">sol_ecl!$H$282</f>
        <v>350.704465516075</v>
      </c>
      <c r="H282" s="6" t="n">
        <f aca="false">calc!$Z$282</f>
        <v>-4.15761074534745</v>
      </c>
      <c r="I282" s="112" t="n">
        <f aca="false">10*H282</f>
        <v>-41.5761074534745</v>
      </c>
      <c r="J282" s="103" t="n">
        <f aca="false">ABS(ABS(F282-G282)-180)</f>
        <v>25.9126298425617</v>
      </c>
      <c r="K282" s="6" t="str">
        <f aca="false">IF(ABS(J282)/11.31&lt;1,J282/11.31,"")</f>
        <v/>
      </c>
      <c r="L282" s="6" t="str">
        <f aca="false">IF(ABS(H282)/1.067&lt;1,H282,"")</f>
        <v/>
      </c>
      <c r="M282" s="107" t="str">
        <f aca="false">IF(OR(K282="",L282=""),"",ABS(K282)+ABS(L282))</f>
        <v/>
      </c>
    </row>
    <row r="283" customFormat="false" ht="17.75" hidden="false" customHeight="true" outlineLevel="0" collapsed="false">
      <c r="C283" s="2" t="n">
        <f aca="false">sol_ecl!$C$283</f>
        <v>9</v>
      </c>
      <c r="D283" s="2" t="n">
        <f aca="false">sol_ecl!$D$283</f>
        <v>10</v>
      </c>
      <c r="E283" s="102" t="n">
        <f aca="false">sol_ecl!$E$283</f>
        <v>282</v>
      </c>
      <c r="F283" s="6" t="n">
        <f aca="false">calc!$AN$283</f>
        <v>197.60274272252</v>
      </c>
      <c r="G283" s="16" t="n">
        <f aca="false">sol_ecl!$H$283</f>
        <v>4.62085946122568</v>
      </c>
      <c r="H283" s="6" t="n">
        <f aca="false">calc!$Z$283</f>
        <v>-3.2811565888454</v>
      </c>
      <c r="I283" s="112" t="n">
        <f aca="false">10*H283</f>
        <v>-32.811565888454</v>
      </c>
      <c r="J283" s="103" t="n">
        <f aca="false">ABS(ABS(F283-G283)-180)</f>
        <v>12.9818832612942</v>
      </c>
      <c r="K283" s="6" t="str">
        <f aca="false">IF(ABS(J283)/11.31&lt;1,J283/11.31,"")</f>
        <v/>
      </c>
      <c r="L283" s="6" t="str">
        <f aca="false">IF(ABS(H283)/1.067&lt;1,H283,"")</f>
        <v/>
      </c>
      <c r="M283" s="107" t="str">
        <f aca="false">IF(OR(K283="",L283=""),"",ABS(K283)+ABS(L283))</f>
        <v/>
      </c>
    </row>
    <row r="284" customFormat="false" ht="17.75" hidden="false" customHeight="true" outlineLevel="0" collapsed="false">
      <c r="C284" s="2" t="n">
        <f aca="false">sol_ecl!$C$284</f>
        <v>10</v>
      </c>
      <c r="D284" s="2" t="n">
        <f aca="false">sol_ecl!$D$284</f>
        <v>10</v>
      </c>
      <c r="E284" s="102" t="n">
        <f aca="false">sol_ecl!$E$284</f>
        <v>283</v>
      </c>
      <c r="F284" s="6" t="n">
        <f aca="false">calc!$AN$284</f>
        <v>198.588390086406</v>
      </c>
      <c r="G284" s="16" t="n">
        <f aca="false">sol_ecl!$H$284</f>
        <v>18.2768955131585</v>
      </c>
      <c r="H284" s="6" t="n">
        <f aca="false">calc!$Z$284</f>
        <v>-2.22990818457164</v>
      </c>
      <c r="I284" s="112" t="n">
        <f aca="false">10*H284</f>
        <v>-22.2990818457164</v>
      </c>
      <c r="J284" s="103" t="n">
        <f aca="false">ABS(ABS(F284-G284)-180)</f>
        <v>0.311494573247899</v>
      </c>
      <c r="K284" s="6" t="n">
        <f aca="false">IF(ABS(J284)/11.31&lt;1,J284/11.31,"")</f>
        <v>0.0275415184127231</v>
      </c>
      <c r="L284" s="6" t="str">
        <f aca="false">IF(ABS(H284)/1.067&lt;1,H284,"")</f>
        <v/>
      </c>
      <c r="M284" s="107" t="str">
        <f aca="false">IF(OR(K284="",L284=""),"",ABS(K284)+ABS(L284))</f>
        <v/>
      </c>
    </row>
    <row r="285" customFormat="false" ht="17.75" hidden="false" customHeight="true" outlineLevel="0" collapsed="false">
      <c r="C285" s="2" t="n">
        <f aca="false">sol_ecl!$C$285</f>
        <v>11</v>
      </c>
      <c r="D285" s="2" t="n">
        <f aca="false">sol_ecl!$D$285</f>
        <v>10</v>
      </c>
      <c r="E285" s="102" t="n">
        <f aca="false">sol_ecl!$E$285</f>
        <v>284</v>
      </c>
      <c r="F285" s="6" t="n">
        <f aca="false">calc!$AN$285</f>
        <v>199.574037450289</v>
      </c>
      <c r="G285" s="16" t="n">
        <f aca="false">sol_ecl!$H$285</f>
        <v>31.6218588600164</v>
      </c>
      <c r="H285" s="6" t="n">
        <f aca="false">calc!$Z$285</f>
        <v>-1.0762440743104</v>
      </c>
      <c r="I285" s="112" t="n">
        <f aca="false">10*H285</f>
        <v>-10.762440743104</v>
      </c>
      <c r="J285" s="103" t="n">
        <f aca="false">ABS(ABS(F285-G285)-180)</f>
        <v>12.0478214097271</v>
      </c>
      <c r="K285" s="6" t="str">
        <f aca="false">IF(ABS(J285)/11.31&lt;1,J285/11.31,"")</f>
        <v/>
      </c>
      <c r="L285" s="6" t="str">
        <f aca="false">IF(ABS(H285)/1.067&lt;1,H285,"")</f>
        <v/>
      </c>
      <c r="M285" s="107" t="str">
        <f aca="false">IF(OR(K285="",L285=""),"",ABS(K285)+ABS(L285))</f>
        <v/>
      </c>
    </row>
    <row r="286" customFormat="false" ht="17.75" hidden="false" customHeight="true" outlineLevel="0" collapsed="false">
      <c r="C286" s="2" t="n">
        <f aca="false">sol_ecl!$C$286</f>
        <v>12</v>
      </c>
      <c r="D286" s="2" t="n">
        <f aca="false">sol_ecl!$D$286</f>
        <v>10</v>
      </c>
      <c r="E286" s="102" t="n">
        <f aca="false">sol_ecl!$E$286</f>
        <v>285</v>
      </c>
      <c r="F286" s="6" t="n">
        <f aca="false">calc!$AN$286</f>
        <v>200.559684814176</v>
      </c>
      <c r="G286" s="16" t="n">
        <f aca="false">sol_ecl!$H$286</f>
        <v>44.6322131796149</v>
      </c>
      <c r="H286" s="6" t="n">
        <f aca="false">calc!$Z$286</f>
        <v>0.108459902262384</v>
      </c>
      <c r="I286" s="112" t="n">
        <f aca="false">10*H286</f>
        <v>1.08459902262384</v>
      </c>
      <c r="J286" s="103" t="n">
        <f aca="false">ABS(ABS(F286-G286)-180)</f>
        <v>24.072528365439</v>
      </c>
      <c r="K286" s="6" t="str">
        <f aca="false">IF(ABS(J286)/11.31&lt;1,J286/11.31,"")</f>
        <v/>
      </c>
      <c r="L286" s="6" t="n">
        <f aca="false">IF(ABS(H286)/1.067&lt;1,H286,"")</f>
        <v>0.108459902262384</v>
      </c>
      <c r="M286" s="107" t="str">
        <f aca="false">IF(OR(K286="",L286=""),"",ABS(K286)+ABS(L286))</f>
        <v/>
      </c>
    </row>
    <row r="287" customFormat="false" ht="17.75" hidden="false" customHeight="true" outlineLevel="0" collapsed="false">
      <c r="C287" s="2" t="n">
        <f aca="false">sol_ecl!$C$287</f>
        <v>13</v>
      </c>
      <c r="D287" s="2" t="n">
        <f aca="false">sol_ecl!$D$287</f>
        <v>10</v>
      </c>
      <c r="E287" s="102" t="n">
        <f aca="false">sol_ecl!$E$287</f>
        <v>286</v>
      </c>
      <c r="F287" s="6" t="n">
        <f aca="false">calc!$AN$287</f>
        <v>201.545332178061</v>
      </c>
      <c r="G287" s="16" t="n">
        <f aca="false">sol_ecl!$H$287</f>
        <v>57.3149355426648</v>
      </c>
      <c r="H287" s="6" t="n">
        <f aca="false">calc!$Z$287</f>
        <v>1.26054652737502</v>
      </c>
      <c r="I287" s="112" t="n">
        <f aca="false">10*H287</f>
        <v>12.6054652737502</v>
      </c>
      <c r="J287" s="103" t="n">
        <f aca="false">ABS(ABS(F287-G287)-180)</f>
        <v>35.7696033646043</v>
      </c>
      <c r="K287" s="6" t="str">
        <f aca="false">IF(ABS(J287)/11.31&lt;1,J287/11.31,"")</f>
        <v/>
      </c>
      <c r="L287" s="6" t="str">
        <f aca="false">IF(ABS(H287)/1.067&lt;1,H287,"")</f>
        <v/>
      </c>
      <c r="M287" s="107" t="str">
        <f aca="false">IF(OR(K287="",L287=""),"",ABS(K287)+ABS(L287))</f>
        <v/>
      </c>
    </row>
    <row r="288" customFormat="false" ht="17.75" hidden="false" customHeight="true" outlineLevel="0" collapsed="false">
      <c r="C288" s="2" t="n">
        <f aca="false">sol_ecl!$C$288</f>
        <v>14</v>
      </c>
      <c r="D288" s="2" t="n">
        <f aca="false">sol_ecl!$D$288</f>
        <v>10</v>
      </c>
      <c r="E288" s="102" t="n">
        <f aca="false">sol_ecl!$E$288</f>
        <v>287</v>
      </c>
      <c r="F288" s="6" t="n">
        <f aca="false">calc!$AN$288</f>
        <v>202.530979541949</v>
      </c>
      <c r="G288" s="16" t="n">
        <f aca="false">sol_ecl!$H$288</f>
        <v>69.7052360740115</v>
      </c>
      <c r="H288" s="6" t="n">
        <f aca="false">calc!$Z$288</f>
        <v>2.32754385636861</v>
      </c>
      <c r="I288" s="112" t="n">
        <f aca="false">10*H288</f>
        <v>23.2754385636861</v>
      </c>
      <c r="J288" s="103" t="n">
        <f aca="false">ABS(ABS(F288-G288)-180)</f>
        <v>47.1742565320626</v>
      </c>
      <c r="K288" s="6" t="str">
        <f aca="false">IF(ABS(J288)/11.31&lt;1,J288/11.31,"")</f>
        <v/>
      </c>
      <c r="L288" s="6" t="str">
        <f aca="false">IF(ABS(H288)/1.067&lt;1,H288,"")</f>
        <v/>
      </c>
      <c r="M288" s="107" t="str">
        <f aca="false">IF(OR(K288="",L288=""),"",ABS(K288)+ABS(L288))</f>
        <v/>
      </c>
    </row>
    <row r="289" customFormat="false" ht="17.75" hidden="false" customHeight="true" outlineLevel="0" collapsed="false">
      <c r="C289" s="2" t="n">
        <f aca="false">sol_ecl!$C$289</f>
        <v>15</v>
      </c>
      <c r="D289" s="2" t="n">
        <f aca="false">sol_ecl!$D$289</f>
        <v>10</v>
      </c>
      <c r="E289" s="102" t="n">
        <f aca="false">sol_ecl!$E$289</f>
        <v>288</v>
      </c>
      <c r="F289" s="6" t="n">
        <f aca="false">calc!$AN$289</f>
        <v>203.516626905834</v>
      </c>
      <c r="G289" s="16" t="n">
        <f aca="false">sol_ecl!$H$289</f>
        <v>81.8599688055641</v>
      </c>
      <c r="H289" s="6" t="n">
        <f aca="false">calc!$Z$289</f>
        <v>3.26848842353458</v>
      </c>
      <c r="I289" s="112" t="n">
        <f aca="false">10*H289</f>
        <v>32.6848842353458</v>
      </c>
      <c r="J289" s="103" t="n">
        <f aca="false">ABS(ABS(F289-G289)-180)</f>
        <v>58.3433418997305</v>
      </c>
      <c r="K289" s="6" t="str">
        <f aca="false">IF(ABS(J289)/11.31&lt;1,J289/11.31,"")</f>
        <v/>
      </c>
      <c r="L289" s="6" t="str">
        <f aca="false">IF(ABS(H289)/1.067&lt;1,H289,"")</f>
        <v/>
      </c>
      <c r="M289" s="107" t="str">
        <f aca="false">IF(OR(K289="",L289=""),"",ABS(K289)+ABS(L289))</f>
        <v/>
      </c>
    </row>
    <row r="290" customFormat="false" ht="17.75" hidden="false" customHeight="true" outlineLevel="0" collapsed="false">
      <c r="C290" s="2" t="n">
        <f aca="false">sol_ecl!$C$290</f>
        <v>16</v>
      </c>
      <c r="D290" s="2" t="n">
        <f aca="false">sol_ecl!$D$290</f>
        <v>10</v>
      </c>
      <c r="E290" s="102" t="n">
        <f aca="false">sol_ecl!$E$290</f>
        <v>289</v>
      </c>
      <c r="F290" s="6" t="n">
        <f aca="false">calc!$AN$290</f>
        <v>204.50227426972</v>
      </c>
      <c r="G290" s="16" t="n">
        <f aca="false">sol_ecl!$H$290</f>
        <v>93.8491671624246</v>
      </c>
      <c r="H290" s="6" t="n">
        <f aca="false">calc!$Z$290</f>
        <v>4.05219005303252</v>
      </c>
      <c r="I290" s="112" t="n">
        <f aca="false">10*H290</f>
        <v>40.5219005303252</v>
      </c>
      <c r="J290" s="103" t="n">
        <f aca="false">ABS(ABS(F290-G290)-180)</f>
        <v>69.3468928927044</v>
      </c>
      <c r="K290" s="6" t="str">
        <f aca="false">IF(ABS(J290)/11.31&lt;1,J290/11.31,"")</f>
        <v/>
      </c>
      <c r="L290" s="6" t="str">
        <f aca="false">IF(ABS(H290)/1.067&lt;1,H290,"")</f>
        <v/>
      </c>
      <c r="M290" s="107" t="str">
        <f aca="false">IF(OR(K290="",L290=""),"",ABS(K290)+ABS(L290))</f>
        <v/>
      </c>
    </row>
    <row r="291" customFormat="false" ht="17.75" hidden="false" customHeight="true" outlineLevel="0" collapsed="false">
      <c r="C291" s="2" t="n">
        <f aca="false">sol_ecl!$C$291</f>
        <v>17</v>
      </c>
      <c r="D291" s="2" t="n">
        <f aca="false">sol_ecl!$D$291</f>
        <v>10</v>
      </c>
      <c r="E291" s="102" t="n">
        <f aca="false">sol_ecl!$E$291</f>
        <v>290</v>
      </c>
      <c r="F291" s="6" t="n">
        <f aca="false">calc!$AN$291</f>
        <v>205.487921633607</v>
      </c>
      <c r="G291" s="16" t="n">
        <f aca="false">sol_ecl!$H$291</f>
        <v>105.748270544179</v>
      </c>
      <c r="H291" s="6" t="n">
        <f aca="false">calc!$Z$291</f>
        <v>4.65476392803579</v>
      </c>
      <c r="I291" s="112" t="n">
        <f aca="false">10*H291</f>
        <v>46.5476392803579</v>
      </c>
      <c r="J291" s="103" t="n">
        <f aca="false">ABS(ABS(F291-G291)-180)</f>
        <v>80.2603489105722</v>
      </c>
      <c r="K291" s="6" t="str">
        <f aca="false">IF(ABS(J291)/11.31&lt;1,J291/11.31,"")</f>
        <v/>
      </c>
      <c r="L291" s="6" t="str">
        <f aca="false">IF(ABS(H291)/1.067&lt;1,H291,"")</f>
        <v/>
      </c>
      <c r="M291" s="107" t="str">
        <f aca="false">IF(OR(K291="",L291=""),"",ABS(K291)+ABS(L291))</f>
        <v/>
      </c>
    </row>
    <row r="292" customFormat="false" ht="17.75" hidden="false" customHeight="true" outlineLevel="0" collapsed="false">
      <c r="C292" s="2" t="n">
        <f aca="false">sol_ecl!$C$292</f>
        <v>18</v>
      </c>
      <c r="D292" s="2" t="n">
        <f aca="false">sol_ecl!$D$292</f>
        <v>10</v>
      </c>
      <c r="E292" s="102" t="n">
        <f aca="false">sol_ecl!$E$292</f>
        <v>291</v>
      </c>
      <c r="F292" s="6" t="n">
        <f aca="false">calc!$AN$292</f>
        <v>206.473568997493</v>
      </c>
      <c r="G292" s="16" t="n">
        <f aca="false">sol_ecl!$H$292</f>
        <v>117.632765486139</v>
      </c>
      <c r="H292" s="6" t="n">
        <f aca="false">calc!$Z$292</f>
        <v>5.05742708445702</v>
      </c>
      <c r="I292" s="112" t="n">
        <f aca="false">10*H292</f>
        <v>50.5742708445702</v>
      </c>
      <c r="J292" s="103" t="n">
        <f aca="false">ABS(ABS(F292-G292)-180)</f>
        <v>91.159196488646</v>
      </c>
      <c r="K292" s="6" t="str">
        <f aca="false">IF(ABS(J292)/11.31&lt;1,J292/11.31,"")</f>
        <v/>
      </c>
      <c r="L292" s="6" t="str">
        <f aca="false">IF(ABS(H292)/1.067&lt;1,H292,"")</f>
        <v/>
      </c>
      <c r="M292" s="107" t="str">
        <f aca="false">IF(OR(K292="",L292=""),"",ABS(K292)+ABS(L292))</f>
        <v/>
      </c>
    </row>
    <row r="293" customFormat="false" ht="17.75" hidden="false" customHeight="true" outlineLevel="0" collapsed="false">
      <c r="C293" s="2" t="n">
        <f aca="false">sol_ecl!$C$293</f>
        <v>19</v>
      </c>
      <c r="D293" s="2" t="n">
        <f aca="false">sol_ecl!$D$293</f>
        <v>10</v>
      </c>
      <c r="E293" s="102" t="n">
        <f aca="false">sol_ecl!$E$293</f>
        <v>292</v>
      </c>
      <c r="F293" s="6" t="n">
        <f aca="false">calc!$AN$293</f>
        <v>207.459216361383</v>
      </c>
      <c r="G293" s="16" t="n">
        <f aca="false">sol_ecl!$H$293</f>
        <v>129.57555348169</v>
      </c>
      <c r="H293" s="6" t="n">
        <f aca="false">calc!$Z$293</f>
        <v>5.24506577133416</v>
      </c>
      <c r="I293" s="112" t="n">
        <f aca="false">10*H293</f>
        <v>52.4506577133416</v>
      </c>
      <c r="J293" s="103" t="n">
        <f aca="false">ABS(ABS(F293-G293)-180)</f>
        <v>102.116337120307</v>
      </c>
      <c r="K293" s="6" t="str">
        <f aca="false">IF(ABS(J293)/11.31&lt;1,J293/11.31,"")</f>
        <v/>
      </c>
      <c r="L293" s="6" t="str">
        <f aca="false">IF(ABS(H293)/1.067&lt;1,H293,"")</f>
        <v/>
      </c>
      <c r="M293" s="107" t="str">
        <f aca="false">IF(OR(K293="",L293=""),"",ABS(K293)+ABS(L293))</f>
        <v/>
      </c>
    </row>
    <row r="294" customFormat="false" ht="17.75" hidden="false" customHeight="true" outlineLevel="0" collapsed="false">
      <c r="C294" s="2" t="n">
        <f aca="false">sol_ecl!$C$294</f>
        <v>20</v>
      </c>
      <c r="D294" s="2" t="n">
        <f aca="false">sol_ecl!$D$294</f>
        <v>10</v>
      </c>
      <c r="E294" s="102" t="n">
        <f aca="false">sol_ecl!$E$294</f>
        <v>293</v>
      </c>
      <c r="F294" s="6" t="n">
        <f aca="false">calc!$AN$294</f>
        <v>208.444863725274</v>
      </c>
      <c r="G294" s="16" t="n">
        <f aca="false">sol_ecl!$H$294</f>
        <v>141.646000477173</v>
      </c>
      <c r="H294" s="6" t="n">
        <f aca="false">calc!$Z$294</f>
        <v>5.20576197949573</v>
      </c>
      <c r="I294" s="112" t="n">
        <f aca="false">10*H294</f>
        <v>52.0576197949573</v>
      </c>
      <c r="J294" s="103" t="n">
        <f aca="false">ABS(ABS(F294-G294)-180)</f>
        <v>113.201136751899</v>
      </c>
      <c r="K294" s="6" t="str">
        <f aca="false">IF(ABS(J294)/11.31&lt;1,J294/11.31,"")</f>
        <v/>
      </c>
      <c r="L294" s="6" t="str">
        <f aca="false">IF(ABS(H294)/1.067&lt;1,H294,"")</f>
        <v/>
      </c>
      <c r="M294" s="107" t="str">
        <f aca="false">IF(OR(K294="",L294=""),"",ABS(K294)+ABS(L294))</f>
        <v/>
      </c>
    </row>
    <row r="295" customFormat="false" ht="17.75" hidden="false" customHeight="true" outlineLevel="0" collapsed="false">
      <c r="C295" s="2" t="n">
        <f aca="false">sol_ecl!$C$295</f>
        <v>21</v>
      </c>
      <c r="D295" s="2" t="n">
        <f aca="false">sol_ecl!$D$295</f>
        <v>10</v>
      </c>
      <c r="E295" s="102" t="n">
        <f aca="false">sol_ecl!$E$295</f>
        <v>294</v>
      </c>
      <c r="F295" s="6" t="n">
        <f aca="false">calc!$AN$295</f>
        <v>209.430511089164</v>
      </c>
      <c r="G295" s="16" t="n">
        <f aca="false">sol_ecl!$H$295</f>
        <v>153.908898320713</v>
      </c>
      <c r="H295" s="6" t="n">
        <f aca="false">calc!$Z$295</f>
        <v>4.93141294976467</v>
      </c>
      <c r="I295" s="112" t="n">
        <f aca="false">10*H295</f>
        <v>49.3141294976467</v>
      </c>
      <c r="J295" s="103" t="n">
        <f aca="false">ABS(ABS(F295-G295)-180)</f>
        <v>124.47838723155</v>
      </c>
      <c r="K295" s="6" t="str">
        <f aca="false">IF(ABS(J295)/11.31&lt;1,J295/11.31,"")</f>
        <v/>
      </c>
      <c r="L295" s="6" t="str">
        <f aca="false">IF(ABS(H295)/1.067&lt;1,H295,"")</f>
        <v/>
      </c>
      <c r="M295" s="107" t="str">
        <f aca="false">IF(OR(K295="",L295=""),"",ABS(K295)+ABS(L295))</f>
        <v/>
      </c>
    </row>
    <row r="296" customFormat="false" ht="17.75" hidden="false" customHeight="true" outlineLevel="0" collapsed="false">
      <c r="C296" s="2" t="n">
        <f aca="false">sol_ecl!$C$296</f>
        <v>22</v>
      </c>
      <c r="D296" s="2" t="n">
        <f aca="false">sol_ecl!$D$296</f>
        <v>10</v>
      </c>
      <c r="E296" s="102" t="n">
        <f aca="false">sol_ecl!$E$296</f>
        <v>295</v>
      </c>
      <c r="F296" s="6" t="n">
        <f aca="false">calc!$AN$296</f>
        <v>210.416158453054</v>
      </c>
      <c r="G296" s="16" t="n">
        <f aca="false">sol_ecl!$H$296</f>
        <v>166.421770859786</v>
      </c>
      <c r="H296" s="6" t="n">
        <f aca="false">calc!$Z$296</f>
        <v>4.41963138857495</v>
      </c>
      <c r="I296" s="112" t="n">
        <f aca="false">10*H296</f>
        <v>44.1963138857495</v>
      </c>
      <c r="J296" s="103" t="n">
        <f aca="false">ABS(ABS(F296-G296)-180)</f>
        <v>136.005612406732</v>
      </c>
      <c r="K296" s="6" t="str">
        <f aca="false">IF(ABS(J296)/11.31&lt;1,J296/11.31,"")</f>
        <v/>
      </c>
      <c r="L296" s="6" t="str">
        <f aca="false">IF(ABS(H296)/1.067&lt;1,H296,"")</f>
        <v/>
      </c>
      <c r="M296" s="107" t="str">
        <f aca="false">IF(OR(K296="",L296=""),"",ABS(K296)+ABS(L296))</f>
        <v/>
      </c>
    </row>
    <row r="297" customFormat="false" ht="17.75" hidden="false" customHeight="true" outlineLevel="0" collapsed="false">
      <c r="C297" s="2" t="n">
        <f aca="false">sol_ecl!$C$297</f>
        <v>23</v>
      </c>
      <c r="D297" s="2" t="n">
        <f aca="false">sol_ecl!$D$297</f>
        <v>10</v>
      </c>
      <c r="E297" s="102" t="n">
        <f aca="false">sol_ecl!$E$297</f>
        <v>296</v>
      </c>
      <c r="F297" s="6" t="n">
        <f aca="false">calc!$AN$297</f>
        <v>211.401805816944</v>
      </c>
      <c r="G297" s="16" t="n">
        <f aca="false">sol_ecl!$H$297</f>
        <v>179.229979339265</v>
      </c>
      <c r="H297" s="6" t="n">
        <f aca="false">calc!$Z$297</f>
        <v>3.67700282776604</v>
      </c>
      <c r="I297" s="112" t="n">
        <f aca="false">10*H297</f>
        <v>36.7700282776604</v>
      </c>
      <c r="J297" s="103" t="n">
        <f aca="false">ABS(ABS(F297-G297)-180)</f>
        <v>147.828173522321</v>
      </c>
      <c r="K297" s="6" t="str">
        <f aca="false">IF(ABS(J297)/11.31&lt;1,J297/11.31,"")</f>
        <v/>
      </c>
      <c r="L297" s="6" t="str">
        <f aca="false">IF(ABS(H297)/1.067&lt;1,H297,"")</f>
        <v/>
      </c>
      <c r="M297" s="107" t="str">
        <f aca="false">IF(OR(K297="",L297=""),"",ABS(K297)+ABS(L297))</f>
        <v/>
      </c>
    </row>
    <row r="298" customFormat="false" ht="17.75" hidden="false" customHeight="true" outlineLevel="0" collapsed="false">
      <c r="C298" s="2" t="n">
        <f aca="false">sol_ecl!$C$298</f>
        <v>24</v>
      </c>
      <c r="D298" s="2" t="n">
        <f aca="false">sol_ecl!$D$298</f>
        <v>10</v>
      </c>
      <c r="E298" s="102" t="n">
        <f aca="false">sol_ecl!$E$298</f>
        <v>297</v>
      </c>
      <c r="F298" s="6" t="n">
        <f aca="false">calc!$AN$298</f>
        <v>212.387453180836</v>
      </c>
      <c r="G298" s="16" t="n">
        <f aca="false">sol_ecl!$H$298</f>
        <v>192.360461709768</v>
      </c>
      <c r="H298" s="6" t="n">
        <f aca="false">calc!$Z$298</f>
        <v>2.72330466048128</v>
      </c>
      <c r="I298" s="112" t="n">
        <f aca="false">10*H298</f>
        <v>27.2330466048128</v>
      </c>
      <c r="J298" s="103" t="n">
        <f aca="false">ABS(ABS(F298-G298)-180)</f>
        <v>159.973008528932</v>
      </c>
      <c r="K298" s="6" t="str">
        <f aca="false">IF(ABS(J298)/11.31&lt;1,J298/11.31,"")</f>
        <v/>
      </c>
      <c r="L298" s="6" t="str">
        <f aca="false">IF(ABS(H298)/1.067&lt;1,H298,"")</f>
        <v/>
      </c>
      <c r="M298" s="107" t="str">
        <f aca="false">IF(OR(K298="",L298=""),"",ABS(K298)+ABS(L298))</f>
        <v/>
      </c>
    </row>
    <row r="299" customFormat="false" ht="17.75" hidden="false" customHeight="true" outlineLevel="0" collapsed="false">
      <c r="C299" s="2" t="n">
        <f aca="false">sol_ecl!$C$299</f>
        <v>25</v>
      </c>
      <c r="D299" s="2" t="n">
        <f aca="false">sol_ecl!$D$299</f>
        <v>10</v>
      </c>
      <c r="E299" s="102" t="n">
        <f aca="false">sol_ecl!$E$299</f>
        <v>298</v>
      </c>
      <c r="F299" s="6" t="n">
        <f aca="false">calc!$AN$299</f>
        <v>213.373100544726</v>
      </c>
      <c r="G299" s="16" t="n">
        <f aca="false">sol_ecl!$H$299</f>
        <v>205.816058304899</v>
      </c>
      <c r="H299" s="6" t="n">
        <f aca="false">calc!$Z$299</f>
        <v>1.59552762392545</v>
      </c>
      <c r="I299" s="112" t="n">
        <f aca="false">10*H299</f>
        <v>15.9552762392545</v>
      </c>
      <c r="J299" s="103" t="n">
        <f aca="false">ABS(ABS(F299-G299)-180)</f>
        <v>172.442957760173</v>
      </c>
      <c r="K299" s="6" t="str">
        <f aca="false">IF(ABS(J299)/11.31&lt;1,J299/11.31,"")</f>
        <v/>
      </c>
      <c r="L299" s="6" t="str">
        <f aca="false">IF(ABS(H299)/1.067&lt;1,H299,"")</f>
        <v/>
      </c>
      <c r="M299" s="107" t="str">
        <f aca="false">IF(OR(K299="",L299=""),"",ABS(K299)+ABS(L299))</f>
        <v/>
      </c>
    </row>
    <row r="300" customFormat="false" ht="17.75" hidden="false" customHeight="true" outlineLevel="0" collapsed="false">
      <c r="C300" s="2" t="n">
        <f aca="false">sol_ecl!$C$300</f>
        <v>26</v>
      </c>
      <c r="D300" s="2" t="n">
        <f aca="false">sol_ecl!$D$300</f>
        <v>10</v>
      </c>
      <c r="E300" s="102" t="n">
        <f aca="false">sol_ecl!$E$300</f>
        <v>299</v>
      </c>
      <c r="F300" s="6" t="n">
        <f aca="false">calc!$AN$300</f>
        <v>214.358747908616</v>
      </c>
      <c r="G300" s="16" t="n">
        <f aca="false">sol_ecl!$H$300</f>
        <v>219.572714598298</v>
      </c>
      <c r="H300" s="6" t="n">
        <f aca="false">calc!$Z$300</f>
        <v>0.349888750256671</v>
      </c>
      <c r="I300" s="112" t="n">
        <f aca="false">10*H300</f>
        <v>3.49888750256671</v>
      </c>
      <c r="J300" s="103" t="n">
        <f aca="false">ABS(ABS(F300-G300)-180)</f>
        <v>174.786033310319</v>
      </c>
      <c r="K300" s="6" t="str">
        <f aca="false">IF(ABS(J300)/11.31&lt;1,J300/11.31,"")</f>
        <v/>
      </c>
      <c r="L300" s="6" t="n">
        <f aca="false">IF(ABS(H300)/1.067&lt;1,H300,"")</f>
        <v>0.349888750256671</v>
      </c>
      <c r="M300" s="107" t="str">
        <f aca="false">IF(OR(K300="",L300=""),"",ABS(K300)+ABS(L300))</f>
        <v/>
      </c>
    </row>
    <row r="301" customFormat="false" ht="17.75" hidden="false" customHeight="true" outlineLevel="0" collapsed="false">
      <c r="C301" s="2" t="n">
        <f aca="false">sol_ecl!$C$301</f>
        <v>27</v>
      </c>
      <c r="D301" s="2" t="n">
        <f aca="false">sol_ecl!$D$301</f>
        <v>10</v>
      </c>
      <c r="E301" s="102" t="n">
        <f aca="false">sol_ecl!$E$301</f>
        <v>300</v>
      </c>
      <c r="F301" s="6" t="n">
        <f aca="false">calc!$AN$301</f>
        <v>215.344395272508</v>
      </c>
      <c r="G301" s="16" t="n">
        <f aca="false">sol_ecl!$H$301</f>
        <v>233.581214414584</v>
      </c>
      <c r="H301" s="6" t="n">
        <f aca="false">calc!$Z$301</f>
        <v>-0.939936300098635</v>
      </c>
      <c r="I301" s="112" t="n">
        <f aca="false">10*H301</f>
        <v>-9.39936300098635</v>
      </c>
      <c r="J301" s="103" t="n">
        <f aca="false">ABS(ABS(F301-G301)-180)</f>
        <v>161.763180857925</v>
      </c>
      <c r="K301" s="6" t="str">
        <f aca="false">IF(ABS(J301)/11.31&lt;1,J301/11.31,"")</f>
        <v/>
      </c>
      <c r="L301" s="6" t="n">
        <f aca="false">IF(ABS(H301)/1.067&lt;1,H301,"")</f>
        <v>-0.939936300098635</v>
      </c>
      <c r="M301" s="107" t="str">
        <f aca="false">IF(OR(K301="",L301=""),"",ABS(K301)+ABS(L301))</f>
        <v/>
      </c>
    </row>
    <row r="302" customFormat="false" ht="17.75" hidden="false" customHeight="true" outlineLevel="0" collapsed="false">
      <c r="C302" s="2" t="n">
        <f aca="false">sol_ecl!$C$302</f>
        <v>28</v>
      </c>
      <c r="D302" s="2" t="n">
        <f aca="false">sol_ecl!$D$302</f>
        <v>10</v>
      </c>
      <c r="E302" s="102" t="n">
        <f aca="false">sol_ecl!$E$302</f>
        <v>301</v>
      </c>
      <c r="F302" s="6" t="n">
        <f aca="false">calc!$AN$302</f>
        <v>216.330042636402</v>
      </c>
      <c r="G302" s="16" t="n">
        <f aca="false">sol_ecl!$H$302</f>
        <v>247.773695630033</v>
      </c>
      <c r="H302" s="6" t="n">
        <f aca="false">calc!$Z$302</f>
        <v>-2.18906381211348</v>
      </c>
      <c r="I302" s="112" t="n">
        <f aca="false">10*H302</f>
        <v>-21.8906381211348</v>
      </c>
      <c r="J302" s="103" t="n">
        <f aca="false">ABS(ABS(F302-G302)-180)</f>
        <v>148.556347006369</v>
      </c>
      <c r="K302" s="6" t="str">
        <f aca="false">IF(ABS(J302)/11.31&lt;1,J302/11.31,"")</f>
        <v/>
      </c>
      <c r="L302" s="6" t="str">
        <f aca="false">IF(ABS(H302)/1.067&lt;1,H302,"")</f>
        <v/>
      </c>
      <c r="M302" s="107" t="str">
        <f aca="false">IF(OR(K302="",L302=""),"",ABS(K302)+ABS(L302))</f>
        <v/>
      </c>
    </row>
    <row r="303" customFormat="false" ht="17.75" hidden="false" customHeight="true" outlineLevel="0" collapsed="false">
      <c r="C303" s="2" t="n">
        <f aca="false">sol_ecl!$C$303</f>
        <v>29</v>
      </c>
      <c r="D303" s="2" t="n">
        <f aca="false">sol_ecl!$D$303</f>
        <v>10</v>
      </c>
      <c r="E303" s="102" t="n">
        <f aca="false">sol_ecl!$E$303</f>
        <v>302</v>
      </c>
      <c r="F303" s="6" t="n">
        <f aca="false">calc!$AN$303</f>
        <v>217.315690000296</v>
      </c>
      <c r="G303" s="16" t="n">
        <f aca="false">sol_ecl!$H$303</f>
        <v>262.073571828577</v>
      </c>
      <c r="H303" s="6" t="n">
        <f aca="false">calc!$Z$303</f>
        <v>-3.31106006015076</v>
      </c>
      <c r="I303" s="112" t="n">
        <f aca="false">10*H303</f>
        <v>-33.1106006015076</v>
      </c>
      <c r="J303" s="103" t="n">
        <f aca="false">ABS(ABS(F303-G303)-180)</f>
        <v>135.242118171719</v>
      </c>
      <c r="K303" s="6" t="str">
        <f aca="false">IF(ABS(J303)/11.31&lt;1,J303/11.31,"")</f>
        <v/>
      </c>
      <c r="L303" s="6" t="str">
        <f aca="false">IF(ABS(H303)/1.067&lt;1,H303,"")</f>
        <v/>
      </c>
      <c r="M303" s="107" t="str">
        <f aca="false">IF(OR(K303="",L303=""),"",ABS(K303)+ABS(L303))</f>
        <v/>
      </c>
    </row>
    <row r="304" customFormat="false" ht="17.75" hidden="false" customHeight="true" outlineLevel="0" collapsed="false">
      <c r="C304" s="2" t="n">
        <f aca="false">sol_ecl!$C$304</f>
        <v>30</v>
      </c>
      <c r="D304" s="2" t="n">
        <f aca="false">sol_ecl!$D$304</f>
        <v>10</v>
      </c>
      <c r="E304" s="102" t="n">
        <f aca="false">sol_ecl!$E$304</f>
        <v>303</v>
      </c>
      <c r="F304" s="6" t="n">
        <f aca="false">calc!$AN$304</f>
        <v>218.301337364186</v>
      </c>
      <c r="G304" s="16" t="n">
        <f aca="false">sol_ecl!$H$304</f>
        <v>276.406272329032</v>
      </c>
      <c r="H304" s="6" t="n">
        <f aca="false">calc!$Z$304</f>
        <v>-4.22841863332811</v>
      </c>
      <c r="I304" s="112" t="n">
        <f aca="false">10*H304</f>
        <v>-42.2841863332811</v>
      </c>
      <c r="J304" s="103" t="n">
        <f aca="false">ABS(ABS(F304-G304)-180)</f>
        <v>121.895065035154</v>
      </c>
      <c r="K304" s="6" t="str">
        <f aca="false">IF(ABS(J304)/11.31&lt;1,J304/11.31,"")</f>
        <v/>
      </c>
      <c r="L304" s="6" t="str">
        <f aca="false">IF(ABS(H304)/1.067&lt;1,H304,"")</f>
        <v/>
      </c>
      <c r="M304" s="107" t="str">
        <f aca="false">IF(OR(K304="",L304=""),"",ABS(K304)+ABS(L304))</f>
        <v/>
      </c>
    </row>
    <row r="305" customFormat="false" ht="17.75" hidden="false" customHeight="true" outlineLevel="0" collapsed="false">
      <c r="C305" s="2" t="n">
        <f aca="false">sol_ecl!$C$305</f>
        <v>31</v>
      </c>
      <c r="D305" s="2" t="n">
        <f aca="false">sol_ecl!$D$305</f>
        <v>10</v>
      </c>
      <c r="E305" s="102" t="n">
        <f aca="false">sol_ecl!$E$305</f>
        <v>304</v>
      </c>
      <c r="F305" s="6" t="n">
        <f aca="false">calc!$AN$305</f>
        <v>219.286984728082</v>
      </c>
      <c r="G305" s="16" t="n">
        <f aca="false">sol_ecl!$H$305</f>
        <v>290.707909437266</v>
      </c>
      <c r="H305" s="6" t="n">
        <f aca="false">calc!$Z$305</f>
        <v>-4.88099771490685</v>
      </c>
      <c r="I305" s="112" t="n">
        <f aca="false">10*H305</f>
        <v>-48.8099771490684</v>
      </c>
      <c r="J305" s="103" t="n">
        <f aca="false">ABS(ABS(F305-G305)-180)</f>
        <v>108.579075290816</v>
      </c>
      <c r="K305" s="6" t="str">
        <f aca="false">IF(ABS(J305)/11.31&lt;1,J305/11.31,"")</f>
        <v/>
      </c>
      <c r="L305" s="6" t="str">
        <f aca="false">IF(ABS(H305)/1.067&lt;1,H305,"")</f>
        <v/>
      </c>
      <c r="M305" s="107" t="str">
        <f aca="false">IF(OR(K305="",L305=""),"",ABS(K305)+ABS(L305))</f>
        <v/>
      </c>
    </row>
    <row r="306" customFormat="false" ht="17.75" hidden="false" customHeight="true" outlineLevel="0" collapsed="false">
      <c r="C306" s="2" t="n">
        <f aca="false">sol_ecl!$C$306</f>
        <v>1</v>
      </c>
      <c r="D306" s="2" t="n">
        <f aca="false">sol_ecl!$D$306</f>
        <v>11</v>
      </c>
      <c r="E306" s="102" t="n">
        <f aca="false">sol_ecl!$E$306</f>
        <v>305</v>
      </c>
      <c r="F306" s="6" t="n">
        <f aca="false">calc!$AN$306</f>
        <v>220.272632091977</v>
      </c>
      <c r="G306" s="16" t="n">
        <f aca="false">sol_ecl!$H$306</f>
        <v>304.92972033661</v>
      </c>
      <c r="H306" s="6" t="n">
        <f aca="false">calc!$Z$306</f>
        <v>-5.23070374100694</v>
      </c>
      <c r="I306" s="112" t="n">
        <f aca="false">10*H306</f>
        <v>-52.3070374100694</v>
      </c>
      <c r="J306" s="103" t="n">
        <f aca="false">ABS(ABS(F306-G306)-180)</f>
        <v>95.3429117553671</v>
      </c>
      <c r="K306" s="6" t="str">
        <f aca="false">IF(ABS(J306)/11.31&lt;1,J306/11.31,"")</f>
        <v/>
      </c>
      <c r="L306" s="6" t="str">
        <f aca="false">IF(ABS(H306)/1.067&lt;1,H306,"")</f>
        <v/>
      </c>
      <c r="M306" s="107" t="str">
        <f aca="false">IF(OR(K306="",L306=""),"",ABS(K306)+ABS(L306))</f>
        <v/>
      </c>
    </row>
    <row r="307" customFormat="false" ht="17.75" hidden="false" customHeight="true" outlineLevel="0" collapsed="false">
      <c r="C307" s="2" t="n">
        <f aca="false">sol_ecl!$C$307</f>
        <v>2</v>
      </c>
      <c r="D307" s="2" t="n">
        <f aca="false">sol_ecl!$D$307</f>
        <v>11</v>
      </c>
      <c r="E307" s="102" t="n">
        <f aca="false">sol_ecl!$E$307</f>
        <v>306</v>
      </c>
      <c r="F307" s="6" t="n">
        <f aca="false">calc!$AN$307</f>
        <v>221.258279455871</v>
      </c>
      <c r="G307" s="16" t="n">
        <f aca="false">sol_ecl!$H$307</f>
        <v>319.037634949126</v>
      </c>
      <c r="H307" s="6" t="n">
        <f aca="false">calc!$Z$307</f>
        <v>-5.26246556733462</v>
      </c>
      <c r="I307" s="112" t="n">
        <f aca="false">10*H307</f>
        <v>-52.6246556733462</v>
      </c>
      <c r="J307" s="103" t="n">
        <f aca="false">ABS(ABS(F307-G307)-180)</f>
        <v>82.2206445067448</v>
      </c>
      <c r="K307" s="6" t="str">
        <f aca="false">IF(ABS(J307)/11.31&lt;1,J307/11.31,"")</f>
        <v/>
      </c>
      <c r="L307" s="6" t="str">
        <f aca="false">IF(ABS(H307)/1.067&lt;1,H307,"")</f>
        <v/>
      </c>
      <c r="M307" s="107" t="str">
        <f aca="false">IF(OR(K307="",L307=""),"",ABS(K307)+ABS(L307))</f>
        <v/>
      </c>
    </row>
    <row r="308" customFormat="false" ht="17.75" hidden="false" customHeight="true" outlineLevel="0" collapsed="false">
      <c r="C308" s="2" t="n">
        <f aca="false">sol_ecl!$C$308</f>
        <v>3</v>
      </c>
      <c r="D308" s="2" t="n">
        <f aca="false">sol_ecl!$D$308</f>
        <v>11</v>
      </c>
      <c r="E308" s="102" t="n">
        <f aca="false">sol_ecl!$E$308</f>
        <v>307</v>
      </c>
      <c r="F308" s="6" t="n">
        <f aca="false">calc!$AN$308</f>
        <v>222.243926819767</v>
      </c>
      <c r="G308" s="16" t="n">
        <f aca="false">sol_ecl!$H$308</f>
        <v>333.008013325899</v>
      </c>
      <c r="H308" s="6" t="n">
        <f aca="false">calc!$Z$308</f>
        <v>-4.98278305906005</v>
      </c>
      <c r="I308" s="112" t="n">
        <f aca="false">10*H308</f>
        <v>-49.8278305906005</v>
      </c>
      <c r="J308" s="103" t="n">
        <f aca="false">ABS(ABS(F308-G308)-180)</f>
        <v>69.2359134938678</v>
      </c>
      <c r="K308" s="6" t="str">
        <f aca="false">IF(ABS(J308)/11.31&lt;1,J308/11.31,"")</f>
        <v/>
      </c>
      <c r="L308" s="6" t="str">
        <f aca="false">IF(ABS(H308)/1.067&lt;1,H308,"")</f>
        <v/>
      </c>
      <c r="M308" s="107" t="str">
        <f aca="false">IF(OR(K308="",L308=""),"",ABS(K308)+ABS(L308))</f>
        <v/>
      </c>
    </row>
    <row r="309" customFormat="false" ht="17.75" hidden="false" customHeight="true" outlineLevel="0" collapsed="false">
      <c r="C309" s="2" t="n">
        <f aca="false">sol_ecl!$C$309</f>
        <v>4</v>
      </c>
      <c r="D309" s="2" t="n">
        <f aca="false">sol_ecl!$D$309</f>
        <v>11</v>
      </c>
      <c r="E309" s="102" t="n">
        <f aca="false">sol_ecl!$E$309</f>
        <v>308</v>
      </c>
      <c r="F309" s="6" t="n">
        <f aca="false">calc!$AN$309</f>
        <v>223.229574183662</v>
      </c>
      <c r="G309" s="16" t="n">
        <f aca="false">sol_ecl!$H$309</f>
        <v>346.821831796472</v>
      </c>
      <c r="H309" s="6" t="n">
        <f aca="false">calc!$Z$309</f>
        <v>-4.41725873459038</v>
      </c>
      <c r="I309" s="112" t="n">
        <f aca="false">10*H309</f>
        <v>-44.1725873459038</v>
      </c>
      <c r="J309" s="103" t="n">
        <f aca="false">ABS(ABS(F309-G309)-180)</f>
        <v>56.4077423871904</v>
      </c>
      <c r="K309" s="6" t="str">
        <f aca="false">IF(ABS(J309)/11.31&lt;1,J309/11.31,"")</f>
        <v/>
      </c>
      <c r="L309" s="6" t="str">
        <f aca="false">IF(ABS(H309)/1.067&lt;1,H309,"")</f>
        <v/>
      </c>
      <c r="M309" s="107" t="str">
        <f aca="false">IF(OR(K309="",L309=""),"",ABS(K309)+ABS(L309))</f>
        <v/>
      </c>
    </row>
    <row r="310" customFormat="false" ht="17.75" hidden="false" customHeight="true" outlineLevel="0" collapsed="false">
      <c r="C310" s="2" t="n">
        <f aca="false">sol_ecl!$C$310</f>
        <v>5</v>
      </c>
      <c r="D310" s="2" t="n">
        <f aca="false">sol_ecl!$D$310</f>
        <v>11</v>
      </c>
      <c r="E310" s="102" t="n">
        <f aca="false">sol_ecl!$E$310</f>
        <v>309</v>
      </c>
      <c r="F310" s="6" t="n">
        <f aca="false">calc!$AN$310</f>
        <v>224.215221547558</v>
      </c>
      <c r="G310" s="16" t="n">
        <f aca="false">sol_ecl!$H$310</f>
        <v>0.459921897918694</v>
      </c>
      <c r="H310" s="6" t="n">
        <f aca="false">calc!$Z$310</f>
        <v>-3.60778527652392</v>
      </c>
      <c r="I310" s="112" t="n">
        <f aca="false">10*H310</f>
        <v>-36.0778527652392</v>
      </c>
      <c r="J310" s="103" t="n">
        <f aca="false">ABS(ABS(F310-G310)-180)</f>
        <v>43.7552996496393</v>
      </c>
      <c r="K310" s="6" t="str">
        <f aca="false">IF(ABS(J310)/11.31&lt;1,J310/11.31,"")</f>
        <v/>
      </c>
      <c r="L310" s="6" t="str">
        <f aca="false">IF(ABS(H310)/1.067&lt;1,H310,"")</f>
        <v/>
      </c>
      <c r="M310" s="107" t="str">
        <f aca="false">IF(OR(K310="",L310=""),"",ABS(K310)+ABS(L310))</f>
        <v/>
      </c>
    </row>
    <row r="311" customFormat="false" ht="17.75" hidden="false" customHeight="true" outlineLevel="0" collapsed="false">
      <c r="C311" s="2" t="n">
        <f aca="false">sol_ecl!$C$311</f>
        <v>6</v>
      </c>
      <c r="D311" s="2" t="n">
        <f aca="false">sol_ecl!$D$311</f>
        <v>11</v>
      </c>
      <c r="E311" s="102" t="n">
        <f aca="false">sol_ecl!$E$311</f>
        <v>310</v>
      </c>
      <c r="F311" s="6" t="n">
        <f aca="false">calc!$AN$311</f>
        <v>225.200868911454</v>
      </c>
      <c r="G311" s="16" t="n">
        <f aca="false">sol_ecl!$H$311</f>
        <v>13.9011948548608</v>
      </c>
      <c r="H311" s="6" t="n">
        <f aca="false">calc!$Z$311</f>
        <v>-2.60922494694491</v>
      </c>
      <c r="I311" s="112" t="n">
        <f aca="false">10*H311</f>
        <v>-26.0922494694491</v>
      </c>
      <c r="J311" s="103" t="n">
        <f aca="false">ABS(ABS(F311-G311)-180)</f>
        <v>31.2996740565929</v>
      </c>
      <c r="K311" s="6" t="str">
        <f aca="false">IF(ABS(J311)/11.31&lt;1,J311/11.31,"")</f>
        <v/>
      </c>
      <c r="L311" s="6" t="str">
        <f aca="false">IF(ABS(H311)/1.067&lt;1,H311,"")</f>
        <v/>
      </c>
      <c r="M311" s="107" t="str">
        <f aca="false">IF(OR(K311="",L311=""),"",ABS(K311)+ABS(L311))</f>
        <v/>
      </c>
    </row>
    <row r="312" customFormat="false" ht="17.75" hidden="false" customHeight="true" outlineLevel="0" collapsed="false">
      <c r="C312" s="2" t="n">
        <f aca="false">sol_ecl!$C$312</f>
        <v>7</v>
      </c>
      <c r="D312" s="2" t="n">
        <f aca="false">sol_ecl!$D$312</f>
        <v>11</v>
      </c>
      <c r="E312" s="102" t="n">
        <f aca="false">sol_ecl!$E$312</f>
        <v>311</v>
      </c>
      <c r="F312" s="6" t="n">
        <f aca="false">calc!$AN$312</f>
        <v>226.186516275351</v>
      </c>
      <c r="G312" s="16" t="n">
        <f aca="false">sol_ecl!$H$312</f>
        <v>27.1244276443721</v>
      </c>
      <c r="H312" s="6" t="n">
        <f aca="false">calc!$Z$312</f>
        <v>-1.48513794857658</v>
      </c>
      <c r="I312" s="112" t="n">
        <f aca="false">10*H312</f>
        <v>-14.8513794857658</v>
      </c>
      <c r="J312" s="103" t="n">
        <f aca="false">ABS(ABS(F312-G312)-180)</f>
        <v>19.062088630979</v>
      </c>
      <c r="K312" s="6" t="str">
        <f aca="false">IF(ABS(J312)/11.31&lt;1,J312/11.31,"")</f>
        <v/>
      </c>
      <c r="L312" s="6" t="str">
        <f aca="false">IF(ABS(H312)/1.067&lt;1,H312,"")</f>
        <v/>
      </c>
      <c r="M312" s="107" t="str">
        <f aca="false">IF(OR(K312="",L312=""),"",ABS(K312)+ABS(L312))</f>
        <v/>
      </c>
    </row>
    <row r="313" customFormat="false" ht="17.75" hidden="false" customHeight="true" outlineLevel="0" collapsed="false">
      <c r="C313" s="2" t="n">
        <f aca="false">sol_ecl!$C$313</f>
        <v>8</v>
      </c>
      <c r="D313" s="2" t="n">
        <f aca="false">sol_ecl!$D$313</f>
        <v>11</v>
      </c>
      <c r="E313" s="102" t="n">
        <f aca="false">sol_ecl!$E$313</f>
        <v>312</v>
      </c>
      <c r="F313" s="6" t="n">
        <f aca="false">calc!$AN$313</f>
        <v>227.172163639249</v>
      </c>
      <c r="G313" s="16" t="n">
        <f aca="false">sol_ecl!$H$313</f>
        <v>40.1127158393476</v>
      </c>
      <c r="H313" s="6" t="n">
        <f aca="false">calc!$Z$313</f>
        <v>-0.302534309950928</v>
      </c>
      <c r="I313" s="112" t="n">
        <f aca="false">10*H313</f>
        <v>-3.02534309950928</v>
      </c>
      <c r="J313" s="103" t="n">
        <f aca="false">ABS(ABS(F313-G313)-180)</f>
        <v>7.05944779990091</v>
      </c>
      <c r="K313" s="6" t="n">
        <f aca="false">IF(ABS(J313)/11.31&lt;1,J313/11.31,"")</f>
        <v>0.624177524306004</v>
      </c>
      <c r="L313" s="6" t="n">
        <f aca="false">IF(ABS(H313)/1.067&lt;1,H313,"")</f>
        <v>-0.302534309950928</v>
      </c>
      <c r="M313" s="107" t="n">
        <f aca="false">IF(OR(K313="",L313=""),"",ABS(K313)+ABS(L313))</f>
        <v>0.926711834256932</v>
      </c>
    </row>
    <row r="314" customFormat="false" ht="17.75" hidden="false" customHeight="true" outlineLevel="0" collapsed="false">
      <c r="C314" s="2" t="n">
        <f aca="false">sol_ecl!$C$314</f>
        <v>9</v>
      </c>
      <c r="D314" s="2" t="n">
        <f aca="false">sol_ecl!$D$314</f>
        <v>11</v>
      </c>
      <c r="E314" s="102" t="n">
        <f aca="false">sol_ecl!$E$314</f>
        <v>313</v>
      </c>
      <c r="F314" s="6" t="n">
        <f aca="false">calc!$AN$314</f>
        <v>228.157811003146</v>
      </c>
      <c r="G314" s="16" t="n">
        <f aca="false">sol_ecl!$H$314</f>
        <v>52.8587064772991</v>
      </c>
      <c r="H314" s="6" t="n">
        <f aca="false">calc!$Z$314</f>
        <v>0.873659560287865</v>
      </c>
      <c r="I314" s="112" t="n">
        <f aca="false">10*H314</f>
        <v>8.73659560287865</v>
      </c>
      <c r="J314" s="103" t="n">
        <f aca="false">ABS(ABS(F314-G314)-180)</f>
        <v>4.7008954741531</v>
      </c>
      <c r="K314" s="6" t="n">
        <f aca="false">IF(ABS(J314)/11.31&lt;1,J314/11.31,"")</f>
        <v>0.415640625477728</v>
      </c>
      <c r="L314" s="6" t="n">
        <f aca="false">IF(ABS(H314)/1.067&lt;1,H314,"")</f>
        <v>0.873659560287865</v>
      </c>
      <c r="M314" s="107" t="n">
        <f aca="false">IF(OR(K314="",L314=""),"",ABS(K314)+ABS(L314))</f>
        <v>1.28930018576559</v>
      </c>
    </row>
    <row r="315" customFormat="false" ht="17.75" hidden="false" customHeight="true" outlineLevel="0" collapsed="false">
      <c r="C315" s="2" t="n">
        <f aca="false">sol_ecl!$C$315</f>
        <v>10</v>
      </c>
      <c r="D315" s="2" t="n">
        <f aca="false">sol_ecl!$D$315</f>
        <v>11</v>
      </c>
      <c r="E315" s="102" t="n">
        <f aca="false">sol_ecl!$E$315</f>
        <v>314</v>
      </c>
      <c r="F315" s="6" t="n">
        <f aca="false">calc!$AN$315</f>
        <v>229.143458367045</v>
      </c>
      <c r="G315" s="16" t="n">
        <f aca="false">sol_ecl!$H$315</f>
        <v>65.3685819827796</v>
      </c>
      <c r="H315" s="6" t="n">
        <f aca="false">calc!$Z$315</f>
        <v>1.98529839576314</v>
      </c>
      <c r="I315" s="112" t="n">
        <f aca="false">10*H315</f>
        <v>19.8529839576314</v>
      </c>
      <c r="J315" s="103" t="n">
        <f aca="false">ABS(ABS(F315-G315)-180)</f>
        <v>16.2251236157343</v>
      </c>
      <c r="K315" s="6" t="str">
        <f aca="false">IF(ABS(J315)/11.31&lt;1,J315/11.31,"")</f>
        <v/>
      </c>
      <c r="L315" s="6" t="str">
        <f aca="false">IF(ABS(H315)/1.067&lt;1,H315,"")</f>
        <v/>
      </c>
      <c r="M315" s="107" t="str">
        <f aca="false">IF(OR(K315="",L315=""),"",ABS(K315)+ABS(L315))</f>
        <v/>
      </c>
    </row>
    <row r="316" customFormat="false" ht="17.75" hidden="false" customHeight="true" outlineLevel="0" collapsed="false">
      <c r="C316" s="2" t="n">
        <f aca="false">sol_ecl!$C$316</f>
        <v>11</v>
      </c>
      <c r="D316" s="2" t="n">
        <f aca="false">sol_ecl!$D$316</f>
        <v>11</v>
      </c>
      <c r="E316" s="102" t="n">
        <f aca="false">sol_ecl!$E$316</f>
        <v>315</v>
      </c>
      <c r="F316" s="6" t="n">
        <f aca="false">calc!$AN$316</f>
        <v>230.129105730946</v>
      </c>
      <c r="G316" s="16" t="n">
        <f aca="false">sol_ecl!$H$316</f>
        <v>77.6634749742622</v>
      </c>
      <c r="H316" s="6" t="n">
        <f aca="false">calc!$Z$316</f>
        <v>2.98393989014156</v>
      </c>
      <c r="I316" s="112" t="n">
        <f aca="false">10*H316</f>
        <v>29.8393989014156</v>
      </c>
      <c r="J316" s="103" t="n">
        <f aca="false">ABS(ABS(F316-G316)-180)</f>
        <v>27.5343692433159</v>
      </c>
      <c r="K316" s="6" t="str">
        <f aca="false">IF(ABS(J316)/11.31&lt;1,J316/11.31,"")</f>
        <v/>
      </c>
      <c r="L316" s="6" t="str">
        <f aca="false">IF(ABS(H316)/1.067&lt;1,H316,"")</f>
        <v/>
      </c>
      <c r="M316" s="107" t="str">
        <f aca="false">IF(OR(K316="",L316=""),"",ABS(K316)+ABS(L316))</f>
        <v/>
      </c>
    </row>
    <row r="317" customFormat="false" ht="17.75" hidden="false" customHeight="true" outlineLevel="0" collapsed="false">
      <c r="C317" s="2" t="n">
        <f aca="false">sol_ecl!$C$317</f>
        <v>12</v>
      </c>
      <c r="D317" s="2" t="n">
        <f aca="false">sol_ecl!$D$317</f>
        <v>11</v>
      </c>
      <c r="E317" s="102" t="n">
        <f aca="false">sol_ecl!$E$317</f>
        <v>316</v>
      </c>
      <c r="F317" s="6" t="n">
        <f aca="false">calc!$AN$317</f>
        <v>231.114753094846</v>
      </c>
      <c r="G317" s="16" t="n">
        <f aca="false">sol_ecl!$H$317</f>
        <v>89.7781946684229</v>
      </c>
      <c r="H317" s="6" t="n">
        <f aca="false">calc!$Z$317</f>
        <v>3.83170292490891</v>
      </c>
      <c r="I317" s="112" t="n">
        <f aca="false">10*H317</f>
        <v>38.3170292490891</v>
      </c>
      <c r="J317" s="103" t="n">
        <f aca="false">ABS(ABS(F317-G317)-180)</f>
        <v>38.6634415735774</v>
      </c>
      <c r="K317" s="6" t="str">
        <f aca="false">IF(ABS(J317)/11.31&lt;1,J317/11.31,"")</f>
        <v/>
      </c>
      <c r="L317" s="6" t="str">
        <f aca="false">IF(ABS(H317)/1.067&lt;1,H317,"")</f>
        <v/>
      </c>
      <c r="M317" s="107" t="str">
        <f aca="false">IF(OR(K317="",L317=""),"",ABS(K317)+ABS(L317))</f>
        <v/>
      </c>
    </row>
    <row r="318" customFormat="false" ht="17.75" hidden="false" customHeight="true" outlineLevel="0" collapsed="false">
      <c r="C318" s="2" t="n">
        <f aca="false">sol_ecl!$C$318</f>
        <v>13</v>
      </c>
      <c r="D318" s="2" t="n">
        <f aca="false">sol_ecl!$D$318</f>
        <v>11</v>
      </c>
      <c r="E318" s="102" t="n">
        <f aca="false">sol_ecl!$E$318</f>
        <v>317</v>
      </c>
      <c r="F318" s="6" t="n">
        <f aca="false">calc!$AN$318</f>
        <v>232.100400458743</v>
      </c>
      <c r="G318" s="16" t="n">
        <f aca="false">sol_ecl!$H$318</f>
        <v>101.758280198633</v>
      </c>
      <c r="H318" s="6" t="n">
        <f aca="false">calc!$Z$318</f>
        <v>4.50046322890944</v>
      </c>
      <c r="I318" s="112" t="n">
        <f aca="false">10*H318</f>
        <v>45.0046322890944</v>
      </c>
      <c r="J318" s="103" t="n">
        <f aca="false">ABS(ABS(F318-G318)-180)</f>
        <v>49.6578797398895</v>
      </c>
      <c r="K318" s="6" t="str">
        <f aca="false">IF(ABS(J318)/11.31&lt;1,J318/11.31,"")</f>
        <v/>
      </c>
      <c r="L318" s="6" t="str">
        <f aca="false">IF(ABS(H318)/1.067&lt;1,H318,"")</f>
        <v/>
      </c>
      <c r="M318" s="107" t="str">
        <f aca="false">IF(OR(K318="",L318=""),"",ABS(K318)+ABS(L318))</f>
        <v/>
      </c>
    </row>
    <row r="319" customFormat="false" ht="17.75" hidden="false" customHeight="true" outlineLevel="0" collapsed="false">
      <c r="C319" s="2" t="n">
        <f aca="false">sol_ecl!$C$319</f>
        <v>14</v>
      </c>
      <c r="D319" s="2" t="n">
        <f aca="false">sol_ecl!$D$319</f>
        <v>11</v>
      </c>
      <c r="E319" s="102" t="n">
        <f aca="false">sol_ecl!$E$319</f>
        <v>318</v>
      </c>
      <c r="F319" s="6" t="n">
        <f aca="false">calc!$AN$319</f>
        <v>233.086047822644</v>
      </c>
      <c r="G319" s="16" t="n">
        <f aca="false">sol_ecl!$H$319</f>
        <v>113.656950517396</v>
      </c>
      <c r="H319" s="6" t="n">
        <f aca="false">calc!$Z$319</f>
        <v>4.97014765067921</v>
      </c>
      <c r="I319" s="112" t="n">
        <f aca="false">10*H319</f>
        <v>49.7014765067921</v>
      </c>
      <c r="J319" s="103" t="n">
        <f aca="false">ABS(ABS(F319-G319)-180)</f>
        <v>60.5709026947522</v>
      </c>
      <c r="K319" s="6" t="str">
        <f aca="false">IF(ABS(J319)/11.31&lt;1,J319/11.31,"")</f>
        <v/>
      </c>
      <c r="L319" s="6" t="str">
        <f aca="false">IF(ABS(H319)/1.067&lt;1,H319,"")</f>
        <v/>
      </c>
      <c r="M319" s="107" t="str">
        <f aca="false">IF(OR(K319="",L319=""),"",ABS(K319)+ABS(L319))</f>
        <v/>
      </c>
    </row>
    <row r="320" customFormat="false" ht="17.75" hidden="false" customHeight="true" outlineLevel="0" collapsed="false">
      <c r="C320" s="2" t="n">
        <f aca="false">sol_ecl!$C$320</f>
        <v>15</v>
      </c>
      <c r="D320" s="2" t="n">
        <f aca="false">sol_ecl!$D$320</f>
        <v>11</v>
      </c>
      <c r="E320" s="102" t="n">
        <f aca="false">sol_ecl!$E$320</f>
        <v>319</v>
      </c>
      <c r="F320" s="6" t="n">
        <f aca="false">calc!$AN$320</f>
        <v>234.071695186545</v>
      </c>
      <c r="G320" s="16" t="n">
        <f aca="false">sol_ecl!$H$320</f>
        <v>125.533248792225</v>
      </c>
      <c r="H320" s="6" t="n">
        <f aca="false">calc!$Z$320</f>
        <v>5.22685332577956</v>
      </c>
      <c r="I320" s="112" t="n">
        <f aca="false">10*H320</f>
        <v>52.2685332577956</v>
      </c>
      <c r="J320" s="103" t="n">
        <f aca="false">ABS(ABS(F320-G320)-180)</f>
        <v>71.4615536056794</v>
      </c>
      <c r="K320" s="6" t="str">
        <f aca="false">IF(ABS(J320)/11.31&lt;1,J320/11.31,"")</f>
        <v/>
      </c>
      <c r="L320" s="6" t="str">
        <f aca="false">IF(ABS(H320)/1.067&lt;1,H320,"")</f>
        <v/>
      </c>
      <c r="M320" s="107" t="str">
        <f aca="false">IF(OR(K320="",L320=""),"",ABS(K320)+ABS(L320))</f>
        <v/>
      </c>
    </row>
    <row r="321" customFormat="false" ht="17.75" hidden="false" customHeight="true" outlineLevel="0" collapsed="false">
      <c r="C321" s="2" t="n">
        <f aca="false">sol_ecl!$C$321</f>
        <v>16</v>
      </c>
      <c r="D321" s="2" t="n">
        <f aca="false">sol_ecl!$D$321</f>
        <v>11</v>
      </c>
      <c r="E321" s="102" t="n">
        <f aca="false">sol_ecl!$E$321</f>
        <v>320</v>
      </c>
      <c r="F321" s="6" t="n">
        <f aca="false">calc!$AN$321</f>
        <v>235.057342550444</v>
      </c>
      <c r="G321" s="16" t="n">
        <f aca="false">sol_ecl!$H$321</f>
        <v>137.451712371133</v>
      </c>
      <c r="H321" s="6" t="n">
        <f aca="false">calc!$Z$321</f>
        <v>5.26128639995129</v>
      </c>
      <c r="I321" s="112" t="n">
        <f aca="false">10*H321</f>
        <v>52.6128639995129</v>
      </c>
      <c r="J321" s="103" t="n">
        <f aca="false">ABS(ABS(F321-G321)-180)</f>
        <v>82.3943698206883</v>
      </c>
      <c r="K321" s="6" t="str">
        <f aca="false">IF(ABS(J321)/11.31&lt;1,J321/11.31,"")</f>
        <v/>
      </c>
      <c r="L321" s="6" t="str">
        <f aca="false">IF(ABS(H321)/1.067&lt;1,H321,"")</f>
        <v/>
      </c>
      <c r="M321" s="107" t="str">
        <f aca="false">IF(OR(K321="",L321=""),"",ABS(K321)+ABS(L321))</f>
        <v/>
      </c>
    </row>
    <row r="322" customFormat="false" ht="17.75" hidden="false" customHeight="true" outlineLevel="0" collapsed="false">
      <c r="C322" s="2" t="n">
        <f aca="false">sol_ecl!$C$322</f>
        <v>17</v>
      </c>
      <c r="D322" s="2" t="n">
        <f aca="false">sol_ecl!$D$322</f>
        <v>11</v>
      </c>
      <c r="E322" s="102" t="n">
        <f aca="false">sol_ecl!$E$322</f>
        <v>321</v>
      </c>
      <c r="F322" s="6" t="n">
        <f aca="false">calc!$AN$322</f>
        <v>236.042989914347</v>
      </c>
      <c r="G322" s="16" t="n">
        <f aca="false">sol_ecl!$H$322</f>
        <v>149.482692483686</v>
      </c>
      <c r="H322" s="6" t="n">
        <f aca="false">calc!$Z$322</f>
        <v>5.06784368971004</v>
      </c>
      <c r="I322" s="112" t="n">
        <f aca="false">10*H322</f>
        <v>50.6784368971004</v>
      </c>
      <c r="J322" s="103" t="n">
        <f aca="false">ABS(ABS(F322-G322)-180)</f>
        <v>93.4397025693389</v>
      </c>
      <c r="K322" s="6" t="str">
        <f aca="false">IF(ABS(J322)/11.31&lt;1,J322/11.31,"")</f>
        <v/>
      </c>
      <c r="L322" s="6" t="str">
        <f aca="false">IF(ABS(H322)/1.067&lt;1,H322,"")</f>
        <v/>
      </c>
      <c r="M322" s="107" t="str">
        <f aca="false">IF(OR(K322="",L322=""),"",ABS(K322)+ABS(L322))</f>
        <v/>
      </c>
    </row>
    <row r="323" customFormat="false" ht="17.75" hidden="false" customHeight="true" outlineLevel="0" collapsed="false">
      <c r="C323" s="2" t="n">
        <f aca="false">sol_ecl!$C$323</f>
        <v>18</v>
      </c>
      <c r="D323" s="2" t="n">
        <f aca="false">sol_ecl!$D$323</f>
        <v>11</v>
      </c>
      <c r="E323" s="102" t="n">
        <f aca="false">sol_ecl!$E$323</f>
        <v>322</v>
      </c>
      <c r="F323" s="6" t="n">
        <f aca="false">calc!$AN$323</f>
        <v>237.028637278248</v>
      </c>
      <c r="G323" s="16" t="n">
        <f aca="false">sol_ecl!$H$323</f>
        <v>161.701585993357</v>
      </c>
      <c r="H323" s="6" t="n">
        <f aca="false">calc!$Z$323</f>
        <v>4.64466565311599</v>
      </c>
      <c r="I323" s="112" t="n">
        <f aca="false">10*H323</f>
        <v>46.4466565311599</v>
      </c>
      <c r="J323" s="103" t="n">
        <f aca="false">ABS(ABS(F323-G323)-180)</f>
        <v>104.672948715108</v>
      </c>
      <c r="K323" s="6" t="str">
        <f aca="false">IF(ABS(J323)/11.31&lt;1,J323/11.31,"")</f>
        <v/>
      </c>
      <c r="L323" s="6" t="str">
        <f aca="false">IF(ABS(H323)/1.067&lt;1,H323,"")</f>
        <v/>
      </c>
      <c r="M323" s="107" t="str">
        <f aca="false">IF(OR(K323="",L323=""),"",ABS(K323)+ABS(L323))</f>
        <v/>
      </c>
    </row>
    <row r="324" customFormat="false" ht="17.75" hidden="false" customHeight="true" outlineLevel="0" collapsed="false">
      <c r="C324" s="2" t="n">
        <f aca="false">sol_ecl!$C$324</f>
        <v>19</v>
      </c>
      <c r="D324" s="2" t="n">
        <f aca="false">sol_ecl!$D$324</f>
        <v>11</v>
      </c>
      <c r="E324" s="102" t="n">
        <f aca="false">sol_ecl!$E$324</f>
        <v>323</v>
      </c>
      <c r="F324" s="6" t="n">
        <f aca="false">calc!$AN$324</f>
        <v>238.014284642153</v>
      </c>
      <c r="G324" s="16" t="n">
        <f aca="false">sol_ecl!$H$324</f>
        <v>174.185185669329</v>
      </c>
      <c r="H324" s="6" t="n">
        <f aca="false">calc!$Z$324</f>
        <v>3.99506772715678</v>
      </c>
      <c r="I324" s="112" t="n">
        <f aca="false">10*H324</f>
        <v>39.9506772715678</v>
      </c>
      <c r="J324" s="103" t="n">
        <f aca="false">ABS(ABS(F324-G324)-180)</f>
        <v>116.170901027175</v>
      </c>
      <c r="K324" s="6" t="str">
        <f aca="false">IF(ABS(J324)/11.31&lt;1,J324/11.31,"")</f>
        <v/>
      </c>
      <c r="L324" s="6" t="str">
        <f aca="false">IF(ABS(H324)/1.067&lt;1,H324,"")</f>
        <v/>
      </c>
      <c r="M324" s="107" t="str">
        <f aca="false">IF(OR(K324="",L324=""),"",ABS(K324)+ABS(L324))</f>
        <v/>
      </c>
    </row>
    <row r="325" customFormat="false" ht="17.75" hidden="false" customHeight="true" outlineLevel="0" collapsed="false">
      <c r="C325" s="2" t="n">
        <f aca="false">sol_ecl!$C$325</f>
        <v>20</v>
      </c>
      <c r="D325" s="2" t="n">
        <f aca="false">sol_ecl!$D$325</f>
        <v>11</v>
      </c>
      <c r="E325" s="102" t="n">
        <f aca="false">sol_ecl!$E$325</f>
        <v>324</v>
      </c>
      <c r="F325" s="6" t="n">
        <f aca="false">calc!$AN$325</f>
        <v>238.999932006054</v>
      </c>
      <c r="G325" s="16" t="n">
        <f aca="false">sol_ecl!$H$325</f>
        <v>187.004234181886</v>
      </c>
      <c r="H325" s="6" t="n">
        <f aca="false">calc!$Z$325</f>
        <v>3.13065461451838</v>
      </c>
      <c r="I325" s="112" t="n">
        <f aca="false">10*H325</f>
        <v>31.3065461451838</v>
      </c>
      <c r="J325" s="103" t="n">
        <f aca="false">ABS(ABS(F325-G325)-180)</f>
        <v>128.004302175832</v>
      </c>
      <c r="K325" s="6" t="str">
        <f aca="false">IF(ABS(J325)/11.31&lt;1,J325/11.31,"")</f>
        <v/>
      </c>
      <c r="L325" s="6" t="str">
        <f aca="false">IF(ABS(H325)/1.067&lt;1,H325,"")</f>
        <v/>
      </c>
      <c r="M325" s="107" t="str">
        <f aca="false">IF(OR(K325="",L325=""),"",ABS(K325)+ABS(L325))</f>
        <v/>
      </c>
    </row>
    <row r="326" customFormat="false" ht="17.75" hidden="false" customHeight="true" outlineLevel="0" collapsed="false">
      <c r="C326" s="2" t="n">
        <f aca="false">sol_ecl!$C$326</f>
        <v>21</v>
      </c>
      <c r="D326" s="2" t="n">
        <f aca="false">sol_ecl!$D$326</f>
        <v>11</v>
      </c>
      <c r="E326" s="102" t="n">
        <f aca="false">sol_ecl!$E$326</f>
        <v>325</v>
      </c>
      <c r="F326" s="6" t="n">
        <f aca="false">calc!$AN$326</f>
        <v>239.985579369959</v>
      </c>
      <c r="G326" s="16" t="n">
        <f aca="false">sol_ecl!$H$326</f>
        <v>200.212803470833</v>
      </c>
      <c r="H326" s="6" t="n">
        <f aca="false">calc!$Z$326</f>
        <v>2.07589954900839</v>
      </c>
      <c r="I326" s="112" t="n">
        <f aca="false">10*H326</f>
        <v>20.7589954900839</v>
      </c>
      <c r="J326" s="103" t="n">
        <f aca="false">ABS(ABS(F326-G326)-180)</f>
        <v>140.227224100874</v>
      </c>
      <c r="K326" s="6" t="str">
        <f aca="false">IF(ABS(J326)/11.31&lt;1,J326/11.31,"")</f>
        <v/>
      </c>
      <c r="L326" s="6" t="str">
        <f aca="false">IF(ABS(H326)/1.067&lt;1,H326,"")</f>
        <v/>
      </c>
      <c r="M326" s="107" t="str">
        <f aca="false">IF(OR(K326="",L326=""),"",ABS(K326)+ABS(L326))</f>
        <v/>
      </c>
    </row>
    <row r="327" customFormat="false" ht="17.75" hidden="false" customHeight="true" outlineLevel="0" collapsed="false">
      <c r="C327" s="2" t="n">
        <f aca="false">sol_ecl!$C$327</f>
        <v>22</v>
      </c>
      <c r="D327" s="2" t="n">
        <f aca="false">sol_ecl!$D$327</f>
        <v>11</v>
      </c>
      <c r="E327" s="102" t="n">
        <f aca="false">sol_ecl!$E$327</f>
        <v>326</v>
      </c>
      <c r="F327" s="6" t="n">
        <f aca="false">calc!$AN$327</f>
        <v>240.971226733862</v>
      </c>
      <c r="G327" s="16" t="n">
        <f aca="false">sol_ecl!$H$327</f>
        <v>213.836728784527</v>
      </c>
      <c r="H327" s="6" t="n">
        <f aca="false">calc!$Z$327</f>
        <v>0.873012412437264</v>
      </c>
      <c r="I327" s="112" t="n">
        <f aca="false">10*H327</f>
        <v>8.73012412437264</v>
      </c>
      <c r="J327" s="103" t="n">
        <f aca="false">ABS(ABS(F327-G327)-180)</f>
        <v>152.865502050665</v>
      </c>
      <c r="K327" s="6" t="str">
        <f aca="false">IF(ABS(J327)/11.31&lt;1,J327/11.31,"")</f>
        <v/>
      </c>
      <c r="L327" s="6" t="n">
        <f aca="false">IF(ABS(H327)/1.067&lt;1,H327,"")</f>
        <v>0.873012412437264</v>
      </c>
      <c r="M327" s="107" t="str">
        <f aca="false">IF(OR(K327="",L327=""),"",ABS(K327)+ABS(L327))</f>
        <v/>
      </c>
    </row>
    <row r="328" customFormat="false" ht="17.75" hidden="false" customHeight="true" outlineLevel="0" collapsed="false">
      <c r="C328" s="2" t="n">
        <f aca="false">sol_ecl!$C$328</f>
        <v>23</v>
      </c>
      <c r="D328" s="2" t="n">
        <f aca="false">sol_ecl!$D$328</f>
        <v>11</v>
      </c>
      <c r="E328" s="102" t="n">
        <f aca="false">sol_ecl!$E$328</f>
        <v>327</v>
      </c>
      <c r="F328" s="6" t="n">
        <f aca="false">calc!$AN$328</f>
        <v>241.956874097768</v>
      </c>
      <c r="G328" s="16" t="n">
        <f aca="false">sol_ecl!$H$328</f>
        <v>227.864338400268</v>
      </c>
      <c r="H328" s="6" t="n">
        <f aca="false">calc!$Z$328</f>
        <v>-0.415101233019352</v>
      </c>
      <c r="I328" s="112" t="n">
        <f aca="false">10*H328</f>
        <v>-4.15101233019352</v>
      </c>
      <c r="J328" s="103" t="n">
        <f aca="false">ABS(ABS(F328-G328)-180)</f>
        <v>165.9074643025</v>
      </c>
      <c r="K328" s="6" t="str">
        <f aca="false">IF(ABS(J328)/11.31&lt;1,J328/11.31,"")</f>
        <v/>
      </c>
      <c r="L328" s="6" t="n">
        <f aca="false">IF(ABS(H328)/1.067&lt;1,H328,"")</f>
        <v>-0.415101233019352</v>
      </c>
      <c r="M328" s="107" t="str">
        <f aca="false">IF(OR(K328="",L328=""),"",ABS(K328)+ABS(L328))</f>
        <v/>
      </c>
    </row>
    <row r="329" customFormat="false" ht="17.75" hidden="false" customHeight="true" outlineLevel="0" collapsed="false">
      <c r="C329" s="2" t="n">
        <f aca="false">sol_ecl!$C$329</f>
        <v>24</v>
      </c>
      <c r="D329" s="2" t="n">
        <f aca="false">sol_ecl!$D$329</f>
        <v>11</v>
      </c>
      <c r="E329" s="102" t="n">
        <f aca="false">sol_ecl!$E$329</f>
        <v>328</v>
      </c>
      <c r="F329" s="6" t="n">
        <f aca="false">calc!$AN$329</f>
        <v>242.942521461671</v>
      </c>
      <c r="G329" s="16" t="n">
        <f aca="false">sol_ecl!$H$329</f>
        <v>242.242658802664</v>
      </c>
      <c r="H329" s="6" t="n">
        <f aca="false">calc!$Z$329</f>
        <v>-1.70634060414147</v>
      </c>
      <c r="I329" s="112" t="n">
        <f aca="false">10*H329</f>
        <v>-17.0634060414147</v>
      </c>
      <c r="J329" s="103" t="n">
        <f aca="false">ABS(ABS(F329-G329)-180)</f>
        <v>179.300137340992</v>
      </c>
      <c r="K329" s="6" t="str">
        <f aca="false">IF(ABS(J329)/11.31&lt;1,J329/11.31,"")</f>
        <v/>
      </c>
      <c r="L329" s="6" t="str">
        <f aca="false">IF(ABS(H329)/1.067&lt;1,H329,"")</f>
        <v/>
      </c>
      <c r="M329" s="107" t="str">
        <f aca="false">IF(OR(K329="",L329=""),"",ABS(K329)+ABS(L329))</f>
        <v/>
      </c>
    </row>
    <row r="330" customFormat="false" ht="17.75" hidden="false" customHeight="true" outlineLevel="0" collapsed="false">
      <c r="C330" s="2" t="n">
        <f aca="false">sol_ecl!$C$330</f>
        <v>25</v>
      </c>
      <c r="D330" s="2" t="n">
        <f aca="false">sol_ecl!$D$330</f>
        <v>11</v>
      </c>
      <c r="E330" s="102" t="n">
        <f aca="false">sol_ecl!$E$330</f>
        <v>329</v>
      </c>
      <c r="F330" s="6" t="n">
        <f aca="false">calc!$AN$330</f>
        <v>243.928168825576</v>
      </c>
      <c r="G330" s="16" t="n">
        <f aca="false">sol_ecl!$H$330</f>
        <v>256.881056440832</v>
      </c>
      <c r="H330" s="6" t="n">
        <f aca="false">calc!$Z$330</f>
        <v>-2.9068979867014</v>
      </c>
      <c r="I330" s="112" t="n">
        <f aca="false">10*H330</f>
        <v>-29.068979867014</v>
      </c>
      <c r="J330" s="103" t="n">
        <f aca="false">ABS(ABS(F330-G330)-180)</f>
        <v>167.047112384744</v>
      </c>
      <c r="K330" s="6" t="str">
        <f aca="false">IF(ABS(J330)/11.31&lt;1,J330/11.31,"")</f>
        <v/>
      </c>
      <c r="L330" s="6" t="str">
        <f aca="false">IF(ABS(H330)/1.067&lt;1,H330,"")</f>
        <v/>
      </c>
      <c r="M330" s="107" t="str">
        <f aca="false">IF(OR(K330="",L330=""),"",ABS(K330)+ABS(L330))</f>
        <v/>
      </c>
    </row>
    <row r="331" customFormat="false" ht="17.75" hidden="false" customHeight="true" outlineLevel="0" collapsed="false">
      <c r="C331" s="2" t="n">
        <f aca="false">sol_ecl!$C$331</f>
        <v>26</v>
      </c>
      <c r="D331" s="2" t="n">
        <f aca="false">sol_ecl!$D$331</f>
        <v>11</v>
      </c>
      <c r="E331" s="102" t="n">
        <f aca="false">sol_ecl!$E$331</f>
        <v>330</v>
      </c>
      <c r="F331" s="6" t="n">
        <f aca="false">calc!$AN$331</f>
        <v>244.913816189483</v>
      </c>
      <c r="G331" s="16" t="n">
        <f aca="false">sol_ecl!$H$331</f>
        <v>271.662259544313</v>
      </c>
      <c r="H331" s="6" t="n">
        <f aca="false">calc!$Z$331</f>
        <v>-3.92387172256173</v>
      </c>
      <c r="I331" s="112" t="n">
        <f aca="false">10*H331</f>
        <v>-39.2387172256173</v>
      </c>
      <c r="J331" s="103" t="n">
        <f aca="false">ABS(ABS(F331-G331)-180)</f>
        <v>153.25155664517</v>
      </c>
      <c r="K331" s="6" t="str">
        <f aca="false">IF(ABS(J331)/11.31&lt;1,J331/11.31,"")</f>
        <v/>
      </c>
      <c r="L331" s="6" t="str">
        <f aca="false">IF(ABS(H331)/1.067&lt;1,H331,"")</f>
        <v/>
      </c>
      <c r="M331" s="107" t="str">
        <f aca="false">IF(OR(K331="",L331=""),"",ABS(K331)+ABS(L331))</f>
        <v/>
      </c>
    </row>
    <row r="332" customFormat="false" ht="17.75" hidden="false" customHeight="true" outlineLevel="0" collapsed="false">
      <c r="C332" s="2" t="n">
        <f aca="false">sol_ecl!$C$332</f>
        <v>27</v>
      </c>
      <c r="D332" s="2" t="n">
        <f aca="false">sol_ecl!$D$332</f>
        <v>11</v>
      </c>
      <c r="E332" s="102" t="n">
        <f aca="false">sol_ecl!$E$332</f>
        <v>331</v>
      </c>
      <c r="F332" s="6" t="n">
        <f aca="false">calc!$AN$332</f>
        <v>245.899463553387</v>
      </c>
      <c r="G332" s="16" t="n">
        <f aca="false">sol_ecl!$H$332</f>
        <v>286.458563456936</v>
      </c>
      <c r="H332" s="6" t="n">
        <f aca="false">calc!$Z$332</f>
        <v>-4.67951083618171</v>
      </c>
      <c r="I332" s="112" t="n">
        <f aca="false">10*H332</f>
        <v>-46.7951083618171</v>
      </c>
      <c r="J332" s="103" t="n">
        <f aca="false">ABS(ABS(F332-G332)-180)</f>
        <v>139.440900096452</v>
      </c>
      <c r="K332" s="6" t="str">
        <f aca="false">IF(ABS(J332)/11.31&lt;1,J332/11.31,"")</f>
        <v/>
      </c>
      <c r="L332" s="6" t="str">
        <f aca="false">IF(ABS(H332)/1.067&lt;1,H332,"")</f>
        <v/>
      </c>
      <c r="M332" s="107" t="str">
        <f aca="false">IF(OR(K332="",L332=""),"",ABS(K332)+ABS(L332))</f>
        <v/>
      </c>
    </row>
    <row r="333" customFormat="false" ht="17.75" hidden="false" customHeight="true" outlineLevel="0" collapsed="false">
      <c r="C333" s="2" t="n">
        <f aca="false">sol_ecl!$C$333</f>
        <v>28</v>
      </c>
      <c r="D333" s="2" t="n">
        <f aca="false">sol_ecl!$D$333</f>
        <v>11</v>
      </c>
      <c r="E333" s="102" t="n">
        <f aca="false">sol_ecl!$E$333</f>
        <v>332</v>
      </c>
      <c r="F333" s="6" t="n">
        <f aca="false">calc!$AN$333</f>
        <v>246.885110917294</v>
      </c>
      <c r="G333" s="16" t="n">
        <f aca="false">sol_ecl!$H$333</f>
        <v>301.149503080899</v>
      </c>
      <c r="H333" s="6" t="n">
        <f aca="false">calc!$Z$333</f>
        <v>-5.122446277896</v>
      </c>
      <c r="I333" s="112" t="n">
        <f aca="false">10*H333</f>
        <v>-51.22446277896</v>
      </c>
      <c r="J333" s="103" t="n">
        <f aca="false">ABS(ABS(F333-G333)-180)</f>
        <v>125.735607836395</v>
      </c>
      <c r="K333" s="6" t="str">
        <f aca="false">IF(ABS(J333)/11.31&lt;1,J333/11.31,"")</f>
        <v/>
      </c>
      <c r="L333" s="6" t="str">
        <f aca="false">IF(ABS(H333)/1.067&lt;1,H333,"")</f>
        <v/>
      </c>
      <c r="M333" s="107" t="str">
        <f aca="false">IF(OR(K333="",L333=""),"",ABS(K333)+ABS(L333))</f>
        <v/>
      </c>
    </row>
    <row r="334" customFormat="false" ht="17.75" hidden="false" customHeight="true" outlineLevel="0" collapsed="false">
      <c r="C334" s="2" t="n">
        <f aca="false">sol_ecl!$C$334</f>
        <v>29</v>
      </c>
      <c r="D334" s="2" t="n">
        <f aca="false">sol_ecl!$D$334</f>
        <v>11</v>
      </c>
      <c r="E334" s="102" t="n">
        <f aca="false">sol_ecl!$E$334</f>
        <v>333</v>
      </c>
      <c r="F334" s="6" t="n">
        <f aca="false">calc!$AN$334</f>
        <v>247.870758281202</v>
      </c>
      <c r="G334" s="16" t="n">
        <f aca="false">sol_ecl!$H$334</f>
        <v>315.636904115504</v>
      </c>
      <c r="H334" s="6" t="n">
        <f aca="false">calc!$Z$334</f>
        <v>-5.23253542446183</v>
      </c>
      <c r="I334" s="112" t="n">
        <f aca="false">10*H334</f>
        <v>-52.3253542446183</v>
      </c>
      <c r="J334" s="103" t="n">
        <f aca="false">ABS(ABS(F334-G334)-180)</f>
        <v>112.233854165699</v>
      </c>
      <c r="K334" s="6" t="str">
        <f aca="false">IF(ABS(J334)/11.31&lt;1,J334/11.31,"")</f>
        <v/>
      </c>
      <c r="L334" s="6" t="str">
        <f aca="false">IF(ABS(H334)/1.067&lt;1,H334,"")</f>
        <v/>
      </c>
      <c r="M334" s="107" t="str">
        <f aca="false">IF(OR(K334="",L334=""),"",ABS(K334)+ABS(L334))</f>
        <v/>
      </c>
    </row>
    <row r="335" customFormat="false" ht="17.75" hidden="false" customHeight="true" outlineLevel="0" collapsed="false">
      <c r="C335" s="2" t="n">
        <f aca="false">sol_ecl!$C$335</f>
        <v>30</v>
      </c>
      <c r="D335" s="2" t="n">
        <f aca="false">sol_ecl!$D$335</f>
        <v>11</v>
      </c>
      <c r="E335" s="102" t="n">
        <f aca="false">sol_ecl!$E$335</f>
        <v>334</v>
      </c>
      <c r="F335" s="6" t="n">
        <f aca="false">calc!$AN$335</f>
        <v>248.856405645109</v>
      </c>
      <c r="G335" s="16" t="n">
        <f aca="false">sol_ecl!$H$335</f>
        <v>329.854115646048</v>
      </c>
      <c r="H335" s="6" t="n">
        <f aca="false">calc!$Z$335</f>
        <v>-5.0188883045079</v>
      </c>
      <c r="I335" s="112" t="n">
        <f aca="false">10*H335</f>
        <v>-50.188883045079</v>
      </c>
      <c r="J335" s="103" t="n">
        <f aca="false">ABS(ABS(F335-G335)-180)</f>
        <v>99.0022899990608</v>
      </c>
      <c r="K335" s="6" t="str">
        <f aca="false">IF(ABS(J335)/11.31&lt;1,J335/11.31,"")</f>
        <v/>
      </c>
      <c r="L335" s="6" t="str">
        <f aca="false">IF(ABS(H335)/1.067&lt;1,H335,"")</f>
        <v/>
      </c>
      <c r="M335" s="107" t="str">
        <f aca="false">IF(OR(K335="",L335=""),"",ABS(K335)+ABS(L335))</f>
        <v/>
      </c>
    </row>
    <row r="336" customFormat="false" ht="17.75" hidden="false" customHeight="true" outlineLevel="0" collapsed="false">
      <c r="C336" s="2" t="n">
        <f aca="false">sol_ecl!$C$336</f>
        <v>1</v>
      </c>
      <c r="D336" s="2" t="n">
        <f aca="false">sol_ecl!$D$336</f>
        <v>12</v>
      </c>
      <c r="E336" s="102" t="n">
        <f aca="false">sol_ecl!$E$336</f>
        <v>335</v>
      </c>
      <c r="F336" s="6" t="n">
        <f aca="false">calc!$AN$336</f>
        <v>249.842053009017</v>
      </c>
      <c r="G336" s="16" t="n">
        <f aca="false">sol_ecl!$H$336</f>
        <v>343.768043975242</v>
      </c>
      <c r="H336" s="6" t="n">
        <f aca="false">calc!$Z$336</f>
        <v>-4.51336231357037</v>
      </c>
      <c r="I336" s="112" t="n">
        <f aca="false">10*H336</f>
        <v>-45.1336231357037</v>
      </c>
      <c r="J336" s="103" t="n">
        <f aca="false">ABS(ABS(F336-G336)-180)</f>
        <v>86.0740090337746</v>
      </c>
      <c r="K336" s="6" t="str">
        <f aca="false">IF(ABS(J336)/11.31&lt;1,J336/11.31,"")</f>
        <v/>
      </c>
      <c r="L336" s="6" t="str">
        <f aca="false">IF(ABS(H336)/1.067&lt;1,H336,"")</f>
        <v/>
      </c>
      <c r="M336" s="107" t="str">
        <f aca="false">IF(OR(K336="",L336=""),"",ABS(K336)+ABS(L336))</f>
        <v/>
      </c>
    </row>
    <row r="337" customFormat="false" ht="17.75" hidden="false" customHeight="true" outlineLevel="0" collapsed="false">
      <c r="C337" s="2" t="n">
        <f aca="false">sol_ecl!$C$337</f>
        <v>2</v>
      </c>
      <c r="D337" s="2" t="n">
        <f aca="false">sol_ecl!$D$337</f>
        <v>12</v>
      </c>
      <c r="E337" s="102" t="n">
        <f aca="false">sol_ecl!$E$337</f>
        <v>336</v>
      </c>
      <c r="F337" s="6" t="n">
        <f aca="false">calc!$AN$337</f>
        <v>250.827700372927</v>
      </c>
      <c r="G337" s="16" t="n">
        <f aca="false">sol_ecl!$H$337</f>
        <v>357.3746993353</v>
      </c>
      <c r="H337" s="6" t="n">
        <f aca="false">calc!$Z$337</f>
        <v>-3.76281077886549</v>
      </c>
      <c r="I337" s="112" t="n">
        <f aca="false">10*H337</f>
        <v>-37.6281077886549</v>
      </c>
      <c r="J337" s="103" t="n">
        <f aca="false">ABS(ABS(F337-G337)-180)</f>
        <v>73.4530010376277</v>
      </c>
      <c r="K337" s="6" t="str">
        <f aca="false">IF(ABS(J337)/11.31&lt;1,J337/11.31,"")</f>
        <v/>
      </c>
      <c r="L337" s="6" t="str">
        <f aca="false">IF(ABS(H337)/1.067&lt;1,H337,"")</f>
        <v/>
      </c>
      <c r="M337" s="107" t="str">
        <f aca="false">IF(OR(K337="",L337=""),"",ABS(K337)+ABS(L337))</f>
        <v/>
      </c>
    </row>
    <row r="338" customFormat="false" ht="17.75" hidden="false" customHeight="true" outlineLevel="0" collapsed="false">
      <c r="C338" s="2" t="n">
        <f aca="false">sol_ecl!$C$338</f>
        <v>3</v>
      </c>
      <c r="D338" s="2" t="n">
        <f aca="false">sol_ecl!$D$338</f>
        <v>12</v>
      </c>
      <c r="E338" s="102" t="n">
        <f aca="false">sol_ecl!$E$338</f>
        <v>337</v>
      </c>
      <c r="F338" s="6" t="n">
        <f aca="false">calc!$AN$338</f>
        <v>251.813347736837</v>
      </c>
      <c r="G338" s="16" t="n">
        <f aca="false">sol_ecl!$H$338</f>
        <v>10.6906186450432</v>
      </c>
      <c r="H338" s="6" t="n">
        <f aca="false">calc!$Z$338</f>
        <v>-2.82254887951721</v>
      </c>
      <c r="I338" s="112" t="n">
        <f aca="false">10*H338</f>
        <v>-28.2254887951721</v>
      </c>
      <c r="J338" s="103" t="n">
        <f aca="false">ABS(ABS(F338-G338)-180)</f>
        <v>61.1227290917942</v>
      </c>
      <c r="K338" s="6" t="str">
        <f aca="false">IF(ABS(J338)/11.31&lt;1,J338/11.31,"")</f>
        <v/>
      </c>
      <c r="L338" s="6" t="str">
        <f aca="false">IF(ABS(H338)/1.067&lt;1,H338,"")</f>
        <v/>
      </c>
      <c r="M338" s="107" t="str">
        <f aca="false">IF(OR(K338="",L338=""),"",ABS(K338)+ABS(L338))</f>
        <v/>
      </c>
    </row>
    <row r="339" customFormat="false" ht="17.75" hidden="false" customHeight="true" outlineLevel="0" collapsed="false">
      <c r="C339" s="2" t="n">
        <f aca="false">sol_ecl!$C$339</f>
        <v>4</v>
      </c>
      <c r="D339" s="2" t="n">
        <f aca="false">sol_ecl!$D$339</f>
        <v>12</v>
      </c>
      <c r="E339" s="102" t="n">
        <f aca="false">sol_ecl!$E$339</f>
        <v>338</v>
      </c>
      <c r="F339" s="6" t="n">
        <f aca="false">calc!$AN$339</f>
        <v>252.798995100746</v>
      </c>
      <c r="G339" s="16" t="n">
        <f aca="false">sol_ecl!$H$339</f>
        <v>23.7432305572643</v>
      </c>
      <c r="H339" s="6" t="n">
        <f aca="false">calc!$Z$339</f>
        <v>-1.75186232152031</v>
      </c>
      <c r="I339" s="112" t="n">
        <f aca="false">10*H339</f>
        <v>-17.5186232152031</v>
      </c>
      <c r="J339" s="103" t="n">
        <f aca="false">ABS(ABS(F339-G339)-180)</f>
        <v>49.0557645434815</v>
      </c>
      <c r="K339" s="6" t="str">
        <f aca="false">IF(ABS(J339)/11.31&lt;1,J339/11.31,"")</f>
        <v/>
      </c>
      <c r="L339" s="6" t="str">
        <f aca="false">IF(ABS(H339)/1.067&lt;1,H339,"")</f>
        <v/>
      </c>
      <c r="M339" s="107" t="str">
        <f aca="false">IF(OR(K339="",L339=""),"",ABS(K339)+ABS(L339))</f>
        <v/>
      </c>
    </row>
    <row r="340" customFormat="false" ht="17.75" hidden="false" customHeight="true" outlineLevel="0" collapsed="false">
      <c r="C340" s="2" t="n">
        <f aca="false">sol_ecl!$C$340</f>
        <v>5</v>
      </c>
      <c r="D340" s="2" t="n">
        <f aca="false">sol_ecl!$D$340</f>
        <v>12</v>
      </c>
      <c r="E340" s="102" t="n">
        <f aca="false">sol_ecl!$E$340</f>
        <v>339</v>
      </c>
      <c r="F340" s="6" t="n">
        <f aca="false">calc!$AN$340</f>
        <v>253.784642464654</v>
      </c>
      <c r="G340" s="16" t="n">
        <f aca="false">sol_ecl!$H$340</f>
        <v>36.5628602441572</v>
      </c>
      <c r="H340" s="6" t="n">
        <f aca="false">calc!$Z$340</f>
        <v>-0.611066297854834</v>
      </c>
      <c r="I340" s="112" t="n">
        <f aca="false">10*H340</f>
        <v>-6.11066297854833</v>
      </c>
      <c r="J340" s="103" t="n">
        <f aca="false">ABS(ABS(F340-G340)-180)</f>
        <v>37.2217822204969</v>
      </c>
      <c r="K340" s="6" t="str">
        <f aca="false">IF(ABS(J340)/11.31&lt;1,J340/11.31,"")</f>
        <v/>
      </c>
      <c r="L340" s="6" t="n">
        <f aca="false">IF(ABS(H340)/1.067&lt;1,H340,"")</f>
        <v>-0.611066297854834</v>
      </c>
      <c r="M340" s="107" t="str">
        <f aca="false">IF(OR(K340="",L340=""),"",ABS(K340)+ABS(L340))</f>
        <v/>
      </c>
    </row>
    <row r="341" customFormat="false" ht="17.75" hidden="false" customHeight="true" outlineLevel="0" collapsed="false">
      <c r="C341" s="2" t="n">
        <f aca="false">sol_ecl!$C$341</f>
        <v>6</v>
      </c>
      <c r="D341" s="2" t="n">
        <f aca="false">sol_ecl!$D$341</f>
        <v>12</v>
      </c>
      <c r="E341" s="102" t="n">
        <f aca="false">sol_ecl!$E$341</f>
        <v>340</v>
      </c>
      <c r="F341" s="6" t="n">
        <f aca="false">calc!$AN$341</f>
        <v>254.770289828564</v>
      </c>
      <c r="G341" s="16" t="n">
        <f aca="false">sol_ecl!$H$341</f>
        <v>49.177912041289</v>
      </c>
      <c r="H341" s="6" t="n">
        <f aca="false">calc!$Z$341</f>
        <v>0.540815026894765</v>
      </c>
      <c r="I341" s="112" t="n">
        <f aca="false">10*H341</f>
        <v>5.40815026894765</v>
      </c>
      <c r="J341" s="103" t="n">
        <f aca="false">ABS(ABS(F341-G341)-180)</f>
        <v>25.5923777872753</v>
      </c>
      <c r="K341" s="6" t="str">
        <f aca="false">IF(ABS(J341)/11.31&lt;1,J341/11.31,"")</f>
        <v/>
      </c>
      <c r="L341" s="6" t="n">
        <f aca="false">IF(ABS(H341)/1.067&lt;1,H341,"")</f>
        <v>0.540815026894765</v>
      </c>
      <c r="M341" s="107" t="str">
        <f aca="false">IF(OR(K341="",L341=""),"",ABS(K341)+ABS(L341))</f>
        <v/>
      </c>
    </row>
    <row r="342" customFormat="false" ht="17.75" hidden="false" customHeight="true" outlineLevel="0" collapsed="false">
      <c r="C342" s="2" t="n">
        <f aca="false">sol_ecl!$C$342</f>
        <v>7</v>
      </c>
      <c r="D342" s="2" t="n">
        <f aca="false">sol_ecl!$D$342</f>
        <v>12</v>
      </c>
      <c r="E342" s="102" t="n">
        <f aca="false">sol_ecl!$E$342</f>
        <v>341</v>
      </c>
      <c r="F342" s="6" t="n">
        <f aca="false">calc!$AN$342</f>
        <v>255.755937192476</v>
      </c>
      <c r="G342" s="16" t="n">
        <f aca="false">sol_ecl!$H$342</f>
        <v>61.6133636472362</v>
      </c>
      <c r="H342" s="6" t="n">
        <f aca="false">calc!$Z$342</f>
        <v>1.64835048811211</v>
      </c>
      <c r="I342" s="112" t="n">
        <f aca="false">10*H342</f>
        <v>16.4835048811211</v>
      </c>
      <c r="J342" s="103" t="n">
        <f aca="false">ABS(ABS(F342-G342)-180)</f>
        <v>14.1425735452401</v>
      </c>
      <c r="K342" s="6" t="str">
        <f aca="false">IF(ABS(J342)/11.31&lt;1,J342/11.31,"")</f>
        <v/>
      </c>
      <c r="L342" s="6" t="str">
        <f aca="false">IF(ABS(H342)/1.067&lt;1,H342,"")</f>
        <v/>
      </c>
      <c r="M342" s="107" t="str">
        <f aca="false">IF(OR(K342="",L342=""),"",ABS(K342)+ABS(L342))</f>
        <v/>
      </c>
    </row>
    <row r="343" customFormat="false" ht="17.75" hidden="false" customHeight="true" outlineLevel="0" collapsed="false">
      <c r="C343" s="2" t="n">
        <f aca="false">sol_ecl!$C$343</f>
        <v>8</v>
      </c>
      <c r="D343" s="2" t="n">
        <f aca="false">sol_ecl!$D$343</f>
        <v>12</v>
      </c>
      <c r="E343" s="102" t="n">
        <f aca="false">sol_ecl!$E$343</f>
        <v>342</v>
      </c>
      <c r="F343" s="6" t="n">
        <f aca="false">calc!$AN$343</f>
        <v>256.741584556388</v>
      </c>
      <c r="G343" s="16" t="n">
        <f aca="false">sol_ecl!$H$343</f>
        <v>73.8916271358785</v>
      </c>
      <c r="H343" s="6" t="n">
        <f aca="false">calc!$Z$343</f>
        <v>2.66198501452097</v>
      </c>
      <c r="I343" s="112" t="n">
        <f aca="false">10*H343</f>
        <v>26.6198501452097</v>
      </c>
      <c r="J343" s="103" t="n">
        <f aca="false">ABS(ABS(F343-G343)-180)</f>
        <v>2.84995742050972</v>
      </c>
      <c r="K343" s="6" t="n">
        <f aca="false">IF(ABS(J343)/11.31&lt;1,J343/11.31,"")</f>
        <v>0.25198562515559</v>
      </c>
      <c r="L343" s="6" t="str">
        <f aca="false">IF(ABS(H343)/1.067&lt;1,H343,"")</f>
        <v/>
      </c>
      <c r="M343" s="107" t="str">
        <f aca="false">IF(OR(K343="",L343=""),"",ABS(K343)+ABS(L343))</f>
        <v/>
      </c>
    </row>
    <row r="344" customFormat="false" ht="17.75" hidden="false" customHeight="true" outlineLevel="0" collapsed="false">
      <c r="C344" s="2" t="n">
        <f aca="false">sol_ecl!$C$344</f>
        <v>9</v>
      </c>
      <c r="D344" s="2" t="n">
        <f aca="false">sol_ecl!$D$344</f>
        <v>12</v>
      </c>
      <c r="E344" s="102" t="n">
        <f aca="false">sol_ecl!$E$344</f>
        <v>343</v>
      </c>
      <c r="F344" s="6" t="n">
        <f aca="false">calc!$AN$344</f>
        <v>257.727231920298</v>
      </c>
      <c r="G344" s="16" t="n">
        <f aca="false">sol_ecl!$H$344</f>
        <v>86.0344414763322</v>
      </c>
      <c r="H344" s="6" t="n">
        <f aca="false">calc!$Z$344</f>
        <v>3.53990295244333</v>
      </c>
      <c r="I344" s="112" t="n">
        <f aca="false">10*H344</f>
        <v>35.3990295244333</v>
      </c>
      <c r="J344" s="103" t="n">
        <f aca="false">ABS(ABS(F344-G344)-180)</f>
        <v>8.30720955603374</v>
      </c>
      <c r="K344" s="6" t="n">
        <f aca="false">IF(ABS(J344)/11.31&lt;1,J344/11.31,"")</f>
        <v>0.734501287005636</v>
      </c>
      <c r="L344" s="6" t="str">
        <f aca="false">IF(ABS(H344)/1.067&lt;1,H344,"")</f>
        <v/>
      </c>
      <c r="M344" s="107" t="str">
        <f aca="false">IF(OR(K344="",L344=""),"",ABS(K344)+ABS(L344))</f>
        <v/>
      </c>
    </row>
    <row r="345" customFormat="false" ht="17.75" hidden="false" customHeight="true" outlineLevel="0" collapsed="false">
      <c r="C345" s="2" t="n">
        <f aca="false">sol_ecl!$C$345</f>
        <v>10</v>
      </c>
      <c r="D345" s="2" t="n">
        <f aca="false">sol_ecl!$D$345</f>
        <v>12</v>
      </c>
      <c r="E345" s="102" t="n">
        <f aca="false">sol_ecl!$E$345</f>
        <v>344</v>
      </c>
      <c r="F345" s="6" t="n">
        <f aca="false">calc!$AN$345</f>
        <v>258.712879284212</v>
      </c>
      <c r="G345" s="16" t="n">
        <f aca="false">sol_ecl!$H$345</f>
        <v>98.0647771690642</v>
      </c>
      <c r="H345" s="6" t="n">
        <f aca="false">calc!$Z$345</f>
        <v>4.24906854468358</v>
      </c>
      <c r="I345" s="112" t="n">
        <f aca="false">10*H345</f>
        <v>42.4906854468358</v>
      </c>
      <c r="J345" s="103" t="n">
        <f aca="false">ABS(ABS(F345-G345)-180)</f>
        <v>19.351897884852</v>
      </c>
      <c r="K345" s="6" t="str">
        <f aca="false">IF(ABS(J345)/11.31&lt;1,J345/11.31,"")</f>
        <v/>
      </c>
      <c r="L345" s="6" t="str">
        <f aca="false">IF(ABS(H345)/1.067&lt;1,H345,"")</f>
        <v/>
      </c>
      <c r="M345" s="107" t="str">
        <f aca="false">IF(OR(K345="",L345=""),"",ABS(K345)+ABS(L345))</f>
        <v/>
      </c>
    </row>
    <row r="346" customFormat="false" ht="17.75" hidden="false" customHeight="true" outlineLevel="0" collapsed="false">
      <c r="C346" s="2" t="n">
        <f aca="false">sol_ecl!$C$346</f>
        <v>11</v>
      </c>
      <c r="D346" s="2" t="n">
        <f aca="false">sol_ecl!$D$346</f>
        <v>12</v>
      </c>
      <c r="E346" s="102" t="n">
        <f aca="false">sol_ecl!$E$346</f>
        <v>345</v>
      </c>
      <c r="F346" s="6" t="n">
        <f aca="false">calc!$AN$346</f>
        <v>259.698526648124</v>
      </c>
      <c r="G346" s="16" t="n">
        <f aca="false">sol_ecl!$H$346</f>
        <v>110.008450802046</v>
      </c>
      <c r="H346" s="6" t="n">
        <f aca="false">calc!$Z$346</f>
        <v>4.76531880668998</v>
      </c>
      <c r="I346" s="112" t="n">
        <f aca="false">10*H346</f>
        <v>47.6531880668998</v>
      </c>
      <c r="J346" s="103" t="n">
        <f aca="false">ABS(ABS(F346-G346)-180)</f>
        <v>30.3099241539214</v>
      </c>
      <c r="K346" s="6" t="str">
        <f aca="false">IF(ABS(J346)/11.31&lt;1,J346/11.31,"")</f>
        <v/>
      </c>
      <c r="L346" s="6" t="str">
        <f aca="false">IF(ABS(H346)/1.067&lt;1,H346,"")</f>
        <v/>
      </c>
      <c r="M346" s="107" t="str">
        <f aca="false">IF(OR(K346="",L346=""),"",ABS(K346)+ABS(L346))</f>
        <v/>
      </c>
    </row>
    <row r="347" customFormat="false" ht="17.75" hidden="false" customHeight="true" outlineLevel="0" collapsed="false">
      <c r="C347" s="2" t="n">
        <f aca="false">sol_ecl!$C$347</f>
        <v>12</v>
      </c>
      <c r="D347" s="2" t="n">
        <f aca="false">sol_ecl!$D$347</f>
        <v>12</v>
      </c>
      <c r="E347" s="102" t="n">
        <f aca="false">sol_ecl!$E$347</f>
        <v>346</v>
      </c>
      <c r="F347" s="6" t="n">
        <f aca="false">calc!$AN$347</f>
        <v>260.684174012038</v>
      </c>
      <c r="G347" s="16" t="n">
        <f aca="false">sol_ecl!$H$347</f>
        <v>121.895796960355</v>
      </c>
      <c r="H347" s="6" t="n">
        <f aca="false">calc!$Z$347</f>
        <v>5.07268333694802</v>
      </c>
      <c r="I347" s="112" t="n">
        <f aca="false">10*H347</f>
        <v>50.7268333694802</v>
      </c>
      <c r="J347" s="103" t="n">
        <f aca="false">ABS(ABS(F347-G347)-180)</f>
        <v>41.2116229483171</v>
      </c>
      <c r="K347" s="6" t="str">
        <f aca="false">IF(ABS(J347)/11.31&lt;1,J347/11.31,"")</f>
        <v/>
      </c>
      <c r="L347" s="6" t="str">
        <f aca="false">IF(ABS(H347)/1.067&lt;1,H347,"")</f>
        <v/>
      </c>
      <c r="M347" s="107" t="str">
        <f aca="false">IF(OR(K347="",L347=""),"",ABS(K347)+ABS(L347))</f>
        <v/>
      </c>
    </row>
    <row r="348" customFormat="false" ht="17.75" hidden="false" customHeight="true" outlineLevel="0" collapsed="false">
      <c r="C348" s="2" t="n">
        <f aca="false">sol_ecl!$C$348</f>
        <v>13</v>
      </c>
      <c r="D348" s="2" t="n">
        <f aca="false">sol_ecl!$D$348</f>
        <v>12</v>
      </c>
      <c r="E348" s="102" t="n">
        <f aca="false">sol_ecl!$E$348</f>
        <v>347</v>
      </c>
      <c r="F348" s="6" t="n">
        <f aca="false">calc!$AN$348</f>
        <v>261.66982137595</v>
      </c>
      <c r="G348" s="16" t="n">
        <f aca="false">sol_ecl!$H$348</f>
        <v>133.763922802152</v>
      </c>
      <c r="H348" s="6" t="n">
        <f aca="false">calc!$Z$348</f>
        <v>5.16225051110133</v>
      </c>
      <c r="I348" s="112" t="n">
        <f aca="false">10*H348</f>
        <v>51.6225051110133</v>
      </c>
      <c r="J348" s="103" t="n">
        <f aca="false">ABS(ABS(F348-G348)-180)</f>
        <v>52.0941014262015</v>
      </c>
      <c r="K348" s="6" t="str">
        <f aca="false">IF(ABS(J348)/11.31&lt;1,J348/11.31,"")</f>
        <v/>
      </c>
      <c r="L348" s="6" t="str">
        <f aca="false">IF(ABS(H348)/1.067&lt;1,H348,"")</f>
        <v/>
      </c>
      <c r="M348" s="107" t="str">
        <f aca="false">IF(OR(K348="",L348=""),"",ABS(K348)+ABS(L348))</f>
        <v/>
      </c>
    </row>
    <row r="349" customFormat="false" ht="17.75" hidden="false" customHeight="true" outlineLevel="0" collapsed="false">
      <c r="C349" s="2" t="n">
        <f aca="false">sol_ecl!$C$349</f>
        <v>14</v>
      </c>
      <c r="D349" s="2" t="n">
        <f aca="false">sol_ecl!$D$349</f>
        <v>12</v>
      </c>
      <c r="E349" s="102" t="n">
        <f aca="false">sol_ecl!$E$349</f>
        <v>348</v>
      </c>
      <c r="F349" s="6" t="n">
        <f aca="false">calc!$AN$349</f>
        <v>262.655468739864</v>
      </c>
      <c r="G349" s="16" t="n">
        <f aca="false">sol_ecl!$H$349</f>
        <v>145.659632758899</v>
      </c>
      <c r="H349" s="6" t="n">
        <f aca="false">calc!$Z$349</f>
        <v>5.03090459379416</v>
      </c>
      <c r="I349" s="112" t="n">
        <f aca="false">10*H349</f>
        <v>50.3090459379416</v>
      </c>
      <c r="J349" s="103" t="n">
        <f aca="false">ABS(ABS(F349-G349)-180)</f>
        <v>63.0041640190347</v>
      </c>
      <c r="K349" s="6" t="str">
        <f aca="false">IF(ABS(J349)/11.31&lt;1,J349/11.31,"")</f>
        <v/>
      </c>
      <c r="L349" s="6" t="str">
        <f aca="false">IF(ABS(H349)/1.067&lt;1,H349,"")</f>
        <v/>
      </c>
      <c r="M349" s="107" t="str">
        <f aca="false">IF(OR(K349="",L349=""),"",ABS(K349)+ABS(L349))</f>
        <v/>
      </c>
    </row>
    <row r="350" customFormat="false" ht="17.75" hidden="false" customHeight="true" outlineLevel="0" collapsed="false">
      <c r="C350" s="2" t="n">
        <f aca="false">sol_ecl!$C$350</f>
        <v>15</v>
      </c>
      <c r="D350" s="2" t="n">
        <f aca="false">sol_ecl!$D$350</f>
        <v>12</v>
      </c>
      <c r="E350" s="102" t="n">
        <f aca="false">sol_ecl!$E$350</f>
        <v>349</v>
      </c>
      <c r="F350" s="6" t="n">
        <f aca="false">calc!$AN$350</f>
        <v>263.641116103776</v>
      </c>
      <c r="G350" s="16" t="n">
        <f aca="false">sol_ecl!$H$350</f>
        <v>157.642249679063</v>
      </c>
      <c r="H350" s="6" t="n">
        <f aca="false">calc!$Z$350</f>
        <v>4.68025889221331</v>
      </c>
      <c r="I350" s="112" t="n">
        <f aca="false">10*H350</f>
        <v>46.8025889221331</v>
      </c>
      <c r="J350" s="103" t="n">
        <f aca="false">ABS(ABS(F350-G350)-180)</f>
        <v>74.0011335752875</v>
      </c>
      <c r="K350" s="6" t="str">
        <f aca="false">IF(ABS(J350)/11.31&lt;1,J350/11.31,"")</f>
        <v/>
      </c>
      <c r="L350" s="6" t="str">
        <f aca="false">IF(ABS(H350)/1.067&lt;1,H350,"")</f>
        <v/>
      </c>
      <c r="M350" s="107" t="str">
        <f aca="false">IF(OR(K350="",L350=""),"",ABS(K350)+ABS(L350))</f>
        <v/>
      </c>
    </row>
    <row r="351" customFormat="false" ht="17.75" hidden="false" customHeight="true" outlineLevel="0" collapsed="false">
      <c r="C351" s="2" t="n">
        <f aca="false">sol_ecl!$C$351</f>
        <v>16</v>
      </c>
      <c r="D351" s="2" t="n">
        <f aca="false">sol_ecl!$D$351</f>
        <v>12</v>
      </c>
      <c r="E351" s="102" t="n">
        <f aca="false">sol_ecl!$E$351</f>
        <v>350</v>
      </c>
      <c r="F351" s="6" t="n">
        <f aca="false">calc!$AN$351</f>
        <v>264.626763467692</v>
      </c>
      <c r="G351" s="16" t="n">
        <f aca="false">sol_ecl!$H$351</f>
        <v>169.784725020684</v>
      </c>
      <c r="H351" s="6" t="n">
        <f aca="false">calc!$Z$351</f>
        <v>4.11620295361598</v>
      </c>
      <c r="I351" s="112" t="n">
        <f aca="false">10*H351</f>
        <v>41.1620295361598</v>
      </c>
      <c r="J351" s="103" t="n">
        <f aca="false">ABS(ABS(F351-G351)-180)</f>
        <v>85.1579615529921</v>
      </c>
      <c r="K351" s="6" t="str">
        <f aca="false">IF(ABS(J351)/11.31&lt;1,J351/11.31,"")</f>
        <v/>
      </c>
      <c r="L351" s="6" t="str">
        <f aca="false">IF(ABS(H351)/1.067&lt;1,H351,"")</f>
        <v/>
      </c>
      <c r="M351" s="107" t="str">
        <f aca="false">IF(OR(K351="",L351=""),"",ABS(K351)+ABS(L351))</f>
        <v/>
      </c>
    </row>
    <row r="352" customFormat="false" ht="17.75" hidden="false" customHeight="true" outlineLevel="0" collapsed="false">
      <c r="C352" s="2" t="n">
        <f aca="false">sol_ecl!$C$352</f>
        <v>17</v>
      </c>
      <c r="D352" s="2" t="n">
        <f aca="false">sol_ecl!$D$352</f>
        <v>12</v>
      </c>
      <c r="E352" s="102" t="n">
        <f aca="false">sol_ecl!$E$352</f>
        <v>351</v>
      </c>
      <c r="F352" s="6" t="n">
        <f aca="false">calc!$AN$352</f>
        <v>265.612410831607</v>
      </c>
      <c r="G352" s="16" t="n">
        <f aca="false">sol_ecl!$H$352</f>
        <v>182.171132149735</v>
      </c>
      <c r="H352" s="6" t="n">
        <f aca="false">calc!$Z$352</f>
        <v>3.34960808902081</v>
      </c>
      <c r="I352" s="112" t="n">
        <f aca="false">10*H352</f>
        <v>33.4960808902081</v>
      </c>
      <c r="J352" s="103" t="n">
        <f aca="false">ABS(ABS(F352-G352)-180)</f>
        <v>96.5587213181281</v>
      </c>
      <c r="K352" s="6" t="str">
        <f aca="false">IF(ABS(J352)/11.31&lt;1,J352/11.31,"")</f>
        <v/>
      </c>
      <c r="L352" s="6" t="str">
        <f aca="false">IF(ABS(H352)/1.067&lt;1,H352,"")</f>
        <v/>
      </c>
      <c r="M352" s="107" t="str">
        <f aca="false">IF(OR(K352="",L352=""),"",ABS(K352)+ABS(L352))</f>
        <v/>
      </c>
    </row>
    <row r="353" customFormat="false" ht="17.75" hidden="false" customHeight="true" outlineLevel="0" collapsed="false">
      <c r="C353" s="2" t="n">
        <f aca="false">sol_ecl!$C$353</f>
        <v>18</v>
      </c>
      <c r="D353" s="2" t="n">
        <f aca="false">sol_ecl!$D$353</f>
        <v>12</v>
      </c>
      <c r="E353" s="102" t="n">
        <f aca="false">sol_ecl!$E$353</f>
        <v>352</v>
      </c>
      <c r="F353" s="6" t="n">
        <f aca="false">calc!$AN$353</f>
        <v>266.598058195521</v>
      </c>
      <c r="G353" s="16" t="n">
        <f aca="false">sol_ecl!$H$353</f>
        <v>194.889199363885</v>
      </c>
      <c r="H353" s="6" t="n">
        <f aca="false">calc!$Z$353</f>
        <v>2.39868530073861</v>
      </c>
      <c r="I353" s="112" t="n">
        <f aca="false">10*H353</f>
        <v>23.9868530073861</v>
      </c>
      <c r="J353" s="103" t="n">
        <f aca="false">ABS(ABS(F353-G353)-180)</f>
        <v>108.291141168364</v>
      </c>
      <c r="K353" s="6" t="str">
        <f aca="false">IF(ABS(J353)/11.31&lt;1,J353/11.31,"")</f>
        <v/>
      </c>
      <c r="L353" s="6" t="str">
        <f aca="false">IF(ABS(H353)/1.067&lt;1,H353,"")</f>
        <v/>
      </c>
      <c r="M353" s="107" t="str">
        <f aca="false">IF(OR(K353="",L353=""),"",ABS(K353)+ABS(L353))</f>
        <v/>
      </c>
    </row>
    <row r="354" customFormat="false" ht="17.75" hidden="false" customHeight="true" outlineLevel="0" collapsed="false">
      <c r="C354" s="2" t="n">
        <f aca="false">sol_ecl!$C$354</f>
        <v>19</v>
      </c>
      <c r="D354" s="2" t="n">
        <f aca="false">sol_ecl!$D$354</f>
        <v>12</v>
      </c>
      <c r="E354" s="102" t="n">
        <f aca="false">sol_ecl!$E$354</f>
        <v>353</v>
      </c>
      <c r="F354" s="6" t="n">
        <f aca="false">calc!$AN$354</f>
        <v>267.583705559438</v>
      </c>
      <c r="G354" s="16" t="n">
        <f aca="false">sol_ecl!$H$354</f>
        <v>208.01793429262</v>
      </c>
      <c r="H354" s="6" t="n">
        <f aca="false">calc!$Z$354</f>
        <v>1.29302331416126</v>
      </c>
      <c r="I354" s="112" t="n">
        <f aca="false">10*H354</f>
        <v>12.9302331416126</v>
      </c>
      <c r="J354" s="103" t="n">
        <f aca="false">ABS(ABS(F354-G354)-180)</f>
        <v>120.434228733182</v>
      </c>
      <c r="K354" s="6" t="str">
        <f aca="false">IF(ABS(J354)/11.31&lt;1,J354/11.31,"")</f>
        <v/>
      </c>
      <c r="L354" s="6" t="str">
        <f aca="false">IF(ABS(H354)/1.067&lt;1,H354,"")</f>
        <v/>
      </c>
      <c r="M354" s="107" t="str">
        <f aca="false">IF(OR(K354="",L354=""),"",ABS(K354)+ABS(L354))</f>
        <v/>
      </c>
    </row>
    <row r="355" customFormat="false" ht="17.75" hidden="false" customHeight="true" outlineLevel="0" collapsed="false">
      <c r="C355" s="2" t="n">
        <f aca="false">sol_ecl!$C$355</f>
        <v>20</v>
      </c>
      <c r="D355" s="2" t="n">
        <f aca="false">sol_ecl!$D$355</f>
        <v>12</v>
      </c>
      <c r="E355" s="102" t="n">
        <f aca="false">sol_ecl!$E$355</f>
        <v>354</v>
      </c>
      <c r="F355" s="6" t="n">
        <f aca="false">calc!$AN$355</f>
        <v>268.569352923354</v>
      </c>
      <c r="G355" s="16" t="n">
        <f aca="false">sol_ecl!$H$355</f>
        <v>221.612207322124</v>
      </c>
      <c r="H355" s="6" t="n">
        <f aca="false">calc!$Z$355</f>
        <v>0.0783686940809536</v>
      </c>
      <c r="I355" s="112" t="n">
        <f aca="false">10*H355</f>
        <v>0.783686940809536</v>
      </c>
      <c r="J355" s="103" t="n">
        <f aca="false">ABS(ABS(F355-G355)-180)</f>
        <v>133.04285439877</v>
      </c>
      <c r="K355" s="6" t="str">
        <f aca="false">IF(ABS(J355)/11.31&lt;1,J355/11.31,"")</f>
        <v/>
      </c>
      <c r="L355" s="6" t="n">
        <f aca="false">IF(ABS(H355)/1.067&lt;1,H355,"")</f>
        <v>0.0783686940809536</v>
      </c>
      <c r="M355" s="107" t="str">
        <f aca="false">IF(OR(K355="",L355=""),"",ABS(K355)+ABS(L355))</f>
        <v/>
      </c>
    </row>
    <row r="356" customFormat="false" ht="17.75" hidden="false" customHeight="true" outlineLevel="0" collapsed="false">
      <c r="C356" s="2" t="n">
        <f aca="false">sol_ecl!$C$356</f>
        <v>21</v>
      </c>
      <c r="D356" s="2" t="n">
        <f aca="false">sol_ecl!$D$356</f>
        <v>12</v>
      </c>
      <c r="E356" s="102" t="n">
        <f aca="false">sol_ecl!$E$356</f>
        <v>355</v>
      </c>
      <c r="F356" s="6" t="n">
        <f aca="false">calc!$AN$356</f>
        <v>269.555000287273</v>
      </c>
      <c r="G356" s="16" t="n">
        <f aca="false">sol_ecl!$H$356</f>
        <v>235.687739868953</v>
      </c>
      <c r="H356" s="6" t="n">
        <f aca="false">calc!$Z$356</f>
        <v>-1.1799899110254</v>
      </c>
      <c r="I356" s="112" t="n">
        <f aca="false">10*H356</f>
        <v>-11.799899110254</v>
      </c>
      <c r="J356" s="103" t="n">
        <f aca="false">ABS(ABS(F356-G356)-180)</f>
        <v>146.13273958168</v>
      </c>
      <c r="K356" s="6" t="str">
        <f aca="false">IF(ABS(J356)/11.31&lt;1,J356/11.31,"")</f>
        <v/>
      </c>
      <c r="L356" s="6" t="str">
        <f aca="false">IF(ABS(H356)/1.067&lt;1,H356,"")</f>
        <v/>
      </c>
      <c r="M356" s="107" t="str">
        <f aca="false">IF(OR(K356="",L356=""),"",ABS(K356)+ABS(L356))</f>
        <v/>
      </c>
    </row>
    <row r="357" customFormat="false" ht="17.75" hidden="false" customHeight="true" outlineLevel="0" collapsed="false">
      <c r="C357" s="2" t="n">
        <f aca="false">sol_ecl!$C$357</f>
        <v>22</v>
      </c>
      <c r="D357" s="2" t="n">
        <f aca="false">sol_ecl!$D$357</f>
        <v>12</v>
      </c>
      <c r="E357" s="102" t="n">
        <f aca="false">sol_ecl!$E$357</f>
        <v>356</v>
      </c>
      <c r="F357" s="6" t="n">
        <f aca="false">calc!$AN$357</f>
        <v>270.540647651191</v>
      </c>
      <c r="G357" s="16" t="n">
        <f aca="false">sol_ecl!$H$357</f>
        <v>250.21062804292</v>
      </c>
      <c r="H357" s="6" t="n">
        <f aca="false">calc!$Z$357</f>
        <v>-2.39810509149876</v>
      </c>
      <c r="I357" s="112" t="n">
        <f aca="false">10*H357</f>
        <v>-23.9810509149876</v>
      </c>
      <c r="J357" s="103" t="n">
        <f aca="false">ABS(ABS(F357-G357)-180)</f>
        <v>159.669980391729</v>
      </c>
      <c r="K357" s="6" t="str">
        <f aca="false">IF(ABS(J357)/11.31&lt;1,J357/11.31,"")</f>
        <v/>
      </c>
      <c r="L357" s="6" t="str">
        <f aca="false">IF(ABS(H357)/1.067&lt;1,H357,"")</f>
        <v/>
      </c>
      <c r="M357" s="107" t="str">
        <f aca="false">IF(OR(K357="",L357=""),"",ABS(K357)+ABS(L357))</f>
        <v/>
      </c>
    </row>
    <row r="358" customFormat="false" ht="17.75" hidden="false" customHeight="true" outlineLevel="0" collapsed="false">
      <c r="C358" s="2" t="n">
        <f aca="false">sol_ecl!$C$358</f>
        <v>23</v>
      </c>
      <c r="D358" s="2" t="n">
        <f aca="false">sol_ecl!$D$358</f>
        <v>12</v>
      </c>
      <c r="E358" s="102" t="n">
        <f aca="false">sol_ecl!$E$358</f>
        <v>357</v>
      </c>
      <c r="F358" s="6" t="n">
        <f aca="false">calc!$AN$358</f>
        <v>271.52629501511</v>
      </c>
      <c r="G358" s="16" t="n">
        <f aca="false">sol_ecl!$H$358</f>
        <v>265.094937552927</v>
      </c>
      <c r="H358" s="6" t="n">
        <f aca="false">calc!$Z$358</f>
        <v>-3.48075713715624</v>
      </c>
      <c r="I358" s="112" t="n">
        <f aca="false">10*H358</f>
        <v>-34.8075713715624</v>
      </c>
      <c r="J358" s="103" t="n">
        <f aca="false">ABS(ABS(F358-G358)-180)</f>
        <v>173.568642537817</v>
      </c>
      <c r="K358" s="6" t="str">
        <f aca="false">IF(ABS(J358)/11.31&lt;1,J358/11.31,"")</f>
        <v/>
      </c>
      <c r="L358" s="6" t="str">
        <f aca="false">IF(ABS(H358)/1.067&lt;1,H358,"")</f>
        <v/>
      </c>
      <c r="M358" s="107" t="str">
        <f aca="false">IF(OR(K358="",L358=""),"",ABS(K358)+ABS(L358))</f>
        <v/>
      </c>
    </row>
    <row r="359" customFormat="false" ht="17.75" hidden="false" customHeight="true" outlineLevel="0" collapsed="false">
      <c r="C359" s="2" t="n">
        <f aca="false">sol_ecl!$C$359</f>
        <v>24</v>
      </c>
      <c r="D359" s="2" t="n">
        <f aca="false">sol_ecl!$D$359</f>
        <v>12</v>
      </c>
      <c r="E359" s="102" t="n">
        <f aca="false">sol_ecl!$E$359</f>
        <v>358</v>
      </c>
      <c r="F359" s="6" t="n">
        <f aca="false">calc!$AN$359</f>
        <v>272.511942379027</v>
      </c>
      <c r="G359" s="16" t="n">
        <f aca="false">sol_ecl!$H$359</f>
        <v>280.210089482344</v>
      </c>
      <c r="H359" s="6" t="n">
        <f aca="false">calc!$Z$359</f>
        <v>-4.33515782288436</v>
      </c>
      <c r="I359" s="112" t="n">
        <f aca="false">10*H359</f>
        <v>-43.3515782288436</v>
      </c>
      <c r="J359" s="103" t="n">
        <f aca="false">ABS(ABS(F359-G359)-180)</f>
        <v>172.301852896683</v>
      </c>
      <c r="K359" s="6" t="str">
        <f aca="false">IF(ABS(J359)/11.31&lt;1,J359/11.31,"")</f>
        <v/>
      </c>
      <c r="L359" s="6" t="str">
        <f aca="false">IF(ABS(H359)/1.067&lt;1,H359,"")</f>
        <v/>
      </c>
      <c r="M359" s="107" t="str">
        <f aca="false">IF(OR(K359="",L359=""),"",ABS(K359)+ABS(L359))</f>
        <v/>
      </c>
    </row>
    <row r="360" customFormat="false" ht="17.75" hidden="false" customHeight="true" outlineLevel="0" collapsed="false">
      <c r="C360" s="2" t="n">
        <f aca="false">sol_ecl!$C$360</f>
        <v>25</v>
      </c>
      <c r="D360" s="2" t="n">
        <f aca="false">sol_ecl!$D$360</f>
        <v>12</v>
      </c>
      <c r="E360" s="102" t="n">
        <f aca="false">sol_ecl!$E$360</f>
        <v>359</v>
      </c>
      <c r="F360" s="6" t="n">
        <f aca="false">calc!$AN$360</f>
        <v>273.497589742947</v>
      </c>
      <c r="G360" s="16" t="n">
        <f aca="false">sol_ecl!$H$360</f>
        <v>295.397228076956</v>
      </c>
      <c r="H360" s="6" t="n">
        <f aca="false">calc!$Z$360</f>
        <v>-4.88743482972885</v>
      </c>
      <c r="I360" s="112" t="n">
        <f aca="false">10*H360</f>
        <v>-48.8743482972885</v>
      </c>
      <c r="J360" s="103" t="n">
        <f aca="false">ABS(ABS(F360-G360)-180)</f>
        <v>158.100361665991</v>
      </c>
      <c r="K360" s="6" t="str">
        <f aca="false">IF(ABS(J360)/11.31&lt;1,J360/11.31,"")</f>
        <v/>
      </c>
      <c r="L360" s="6" t="str">
        <f aca="false">IF(ABS(H360)/1.067&lt;1,H360,"")</f>
        <v/>
      </c>
      <c r="M360" s="107" t="str">
        <f aca="false">IF(OR(K360="",L360=""),"",ABS(K360)+ABS(L360))</f>
        <v/>
      </c>
    </row>
    <row r="361" customFormat="false" ht="17.75" hidden="false" customHeight="true" outlineLevel="0" collapsed="false">
      <c r="C361" s="2" t="n">
        <f aca="false">sol_ecl!$C$361</f>
        <v>26</v>
      </c>
      <c r="D361" s="2" t="n">
        <f aca="false">sol_ecl!$D$361</f>
        <v>12</v>
      </c>
      <c r="E361" s="102" t="n">
        <f aca="false">sol_ecl!$E$361</f>
        <v>360</v>
      </c>
      <c r="F361" s="6" t="n">
        <f aca="false">calc!$AN$361</f>
        <v>274.483237106866</v>
      </c>
      <c r="G361" s="16" t="n">
        <f aca="false">sol_ecl!$H$361</f>
        <v>310.491314068965</v>
      </c>
      <c r="H361" s="6" t="n">
        <f aca="false">calc!$Z$361</f>
        <v>-5.09614359973514</v>
      </c>
      <c r="I361" s="112" t="n">
        <f aca="false">10*H361</f>
        <v>-50.9614359973514</v>
      </c>
      <c r="J361" s="103" t="n">
        <f aca="false">ABS(ABS(F361-G361)-180)</f>
        <v>143.991923037901</v>
      </c>
      <c r="K361" s="6" t="str">
        <f aca="false">IF(ABS(J361)/11.31&lt;1,J361/11.31,"")</f>
        <v/>
      </c>
      <c r="L361" s="6" t="str">
        <f aca="false">IF(ABS(H361)/1.067&lt;1,H361,"")</f>
        <v/>
      </c>
      <c r="M361" s="107" t="str">
        <f aca="false">IF(OR(K361="",L361=""),"",ABS(K361)+ABS(L361))</f>
        <v/>
      </c>
    </row>
    <row r="362" customFormat="false" ht="17.75" hidden="false" customHeight="true" outlineLevel="0" collapsed="false">
      <c r="C362" s="2" t="n">
        <f aca="false">sol_ecl!$C$362</f>
        <v>27</v>
      </c>
      <c r="D362" s="2" t="n">
        <f aca="false">sol_ecl!$D$362</f>
        <v>12</v>
      </c>
      <c r="E362" s="102" t="n">
        <f aca="false">sol_ecl!$E$362</f>
        <v>361</v>
      </c>
      <c r="F362" s="6" t="n">
        <f aca="false">calc!$AN$362</f>
        <v>275.468884470785</v>
      </c>
      <c r="G362" s="16" t="n">
        <f aca="false">sol_ecl!$H$362</f>
        <v>325.344115817139</v>
      </c>
      <c r="H362" s="6" t="n">
        <f aca="false">calc!$Z$362</f>
        <v>-4.95780933667567</v>
      </c>
      <c r="I362" s="112" t="n">
        <f aca="false">10*H362</f>
        <v>-49.5780933667567</v>
      </c>
      <c r="J362" s="103" t="n">
        <f aca="false">ABS(ABS(F362-G362)-180)</f>
        <v>130.124768653647</v>
      </c>
      <c r="K362" s="6" t="str">
        <f aca="false">IF(ABS(J362)/11.31&lt;1,J362/11.31,"")</f>
        <v/>
      </c>
      <c r="L362" s="6" t="str">
        <f aca="false">IF(ABS(H362)/1.067&lt;1,H362,"")</f>
        <v/>
      </c>
      <c r="M362" s="107" t="str">
        <f aca="false">IF(OR(K362="",L362=""),"",ABS(K362)+ABS(L362))</f>
        <v/>
      </c>
    </row>
    <row r="363" customFormat="false" ht="17.75" hidden="false" customHeight="true" outlineLevel="0" collapsed="false">
      <c r="C363" s="2" t="n">
        <f aca="false">sol_ecl!$C$363</f>
        <v>28</v>
      </c>
      <c r="D363" s="2" t="n">
        <f aca="false">sol_ecl!$D$363</f>
        <v>12</v>
      </c>
      <c r="E363" s="102" t="n">
        <f aca="false">sol_ecl!$E$363</f>
        <v>362</v>
      </c>
      <c r="F363" s="6" t="n">
        <f aca="false">calc!$AN$363</f>
        <v>276.454531834705</v>
      </c>
      <c r="G363" s="16" t="n">
        <f aca="false">sol_ecl!$H$363</f>
        <v>339.843085631707</v>
      </c>
      <c r="H363" s="6" t="n">
        <f aca="false">calc!$Z$363</f>
        <v>-4.50308691148224</v>
      </c>
      <c r="I363" s="112" t="n">
        <f aca="false">10*H363</f>
        <v>-45.0308691148224</v>
      </c>
      <c r="J363" s="103" t="n">
        <f aca="false">ABS(ABS(F363-G363)-180)</f>
        <v>116.611446202998</v>
      </c>
      <c r="K363" s="6" t="str">
        <f aca="false">IF(ABS(J363)/11.31&lt;1,J363/11.31,"")</f>
        <v/>
      </c>
      <c r="L363" s="6" t="str">
        <f aca="false">IF(ABS(H363)/1.067&lt;1,H363,"")</f>
        <v/>
      </c>
      <c r="M363" s="107" t="str">
        <f aca="false">IF(OR(K363="",L363=""),"",ABS(K363)+ABS(L363))</f>
        <v/>
      </c>
    </row>
    <row r="364" customFormat="false" ht="17.75" hidden="false" customHeight="true" outlineLevel="0" collapsed="false">
      <c r="C364" s="2" t="n">
        <f aca="false">sol_ecl!$C$364</f>
        <v>29</v>
      </c>
      <c r="D364" s="2" t="n">
        <f aca="false">sol_ecl!$D$364</f>
        <v>12</v>
      </c>
      <c r="E364" s="102" t="n">
        <f aca="false">sol_ecl!$E$364</f>
        <v>363</v>
      </c>
      <c r="F364" s="6" t="n">
        <f aca="false">calc!$AN$364</f>
        <v>277.440179198627</v>
      </c>
      <c r="G364" s="16" t="n">
        <f aca="false">sol_ecl!$H$364</f>
        <v>353.922351039411</v>
      </c>
      <c r="H364" s="6" t="n">
        <f aca="false">calc!$Z$364</f>
        <v>-3.78626290749168</v>
      </c>
      <c r="I364" s="112" t="n">
        <f aca="false">10*H364</f>
        <v>-37.8626290749168</v>
      </c>
      <c r="J364" s="103" t="n">
        <f aca="false">ABS(ABS(F364-G364)-180)</f>
        <v>103.517828159217</v>
      </c>
      <c r="K364" s="6" t="str">
        <f aca="false">IF(ABS(J364)/11.31&lt;1,J364/11.31,"")</f>
        <v/>
      </c>
      <c r="L364" s="6" t="str">
        <f aca="false">IF(ABS(H364)/1.067&lt;1,H364,"")</f>
        <v/>
      </c>
      <c r="M364" s="107" t="str">
        <f aca="false">IF(OR(K364="",L364=""),"",ABS(K364)+ABS(L364))</f>
        <v/>
      </c>
    </row>
    <row r="365" customFormat="false" ht="17.75" hidden="false" customHeight="true" outlineLevel="0" collapsed="false">
      <c r="C365" s="2" t="n">
        <f aca="false">sol_ecl!$C$365</f>
        <v>30</v>
      </c>
      <c r="D365" s="2" t="n">
        <f aca="false">sol_ecl!$D$365</f>
        <v>12</v>
      </c>
      <c r="E365" s="102" t="n">
        <f aca="false">sol_ecl!$E$365</f>
        <v>364</v>
      </c>
      <c r="F365" s="6" t="n">
        <f aca="false">calc!$AN$365</f>
        <v>278.425826562547</v>
      </c>
      <c r="G365" s="16" t="n">
        <f aca="false">sol_ecl!$H$365</f>
        <v>7.56428366360329</v>
      </c>
      <c r="H365" s="6" t="n">
        <f aca="false">calc!$Z$365</f>
        <v>-2.87296297525442</v>
      </c>
      <c r="I365" s="112" t="n">
        <f aca="false">10*H365</f>
        <v>-28.7296297525442</v>
      </c>
      <c r="J365" s="103" t="n">
        <f aca="false">ABS(ABS(F365-G365)-180)</f>
        <v>90.8615428989434</v>
      </c>
      <c r="K365" s="6" t="str">
        <f aca="false">IF(ABS(J365)/11.31&lt;1,J365/11.31,"")</f>
        <v/>
      </c>
      <c r="L365" s="6" t="str">
        <f aca="false">IF(ABS(H365)/1.067&lt;1,H365,"")</f>
        <v/>
      </c>
      <c r="M365" s="107" t="str">
        <f aca="false">IF(OR(K365="",L365=""),"",ABS(K365)+ABS(L365))</f>
        <v/>
      </c>
    </row>
    <row r="366" customFormat="false" ht="17.75" hidden="false" customHeight="true" outlineLevel="0" collapsed="false">
      <c r="C366" s="2" t="n">
        <f aca="false">sol_ecl!$C$366</f>
        <v>31</v>
      </c>
      <c r="D366" s="2" t="n">
        <f aca="false">sol_ecl!$D$366</f>
        <v>12</v>
      </c>
      <c r="E366" s="102" t="n">
        <f aca="false">sol_ecl!$E$366</f>
        <v>365</v>
      </c>
      <c r="F366" s="6" t="n">
        <f aca="false">calc!$AN$366</f>
        <v>279.41147392647</v>
      </c>
      <c r="G366" s="16" t="n">
        <f aca="false">sol_ecl!$H$366</f>
        <v>20.7925850264124</v>
      </c>
      <c r="H366" s="6" t="n">
        <f aca="false">calc!$Z$366</f>
        <v>-1.8302473703225</v>
      </c>
      <c r="I366" s="112" t="n">
        <f aca="false">10*H366</f>
        <v>-18.302473703225</v>
      </c>
      <c r="J366" s="103" t="n">
        <f aca="false">ABS(ABS(F366-G366)-180)</f>
        <v>78.6188889000572</v>
      </c>
      <c r="K366" s="6" t="str">
        <f aca="false">IF(ABS(J366)/11.31&lt;1,J366/11.31,"")</f>
        <v/>
      </c>
      <c r="L366" s="6" t="str">
        <f aca="false">IF(ABS(H366)/1.067&lt;1,H366,"")</f>
        <v/>
      </c>
      <c r="M366" s="107" t="str">
        <f aca="false">IF(OR(K366="",L366=""),"",ABS(K366)+ABS(L366))</f>
        <v/>
      </c>
    </row>
    <row r="367" customFormat="false" ht="17.75" hidden="false" customHeight="true" outlineLevel="0" collapsed="false">
      <c r="C367" s="2" t="n">
        <f aca="false">sol_ecl!$C$367</f>
        <v>1</v>
      </c>
      <c r="D367" s="2" t="n">
        <f aca="false">sol_ecl!$D$367</f>
        <v>13</v>
      </c>
      <c r="E367" s="102" t="n">
        <f aca="false">sol_ecl!$E$367</f>
        <v>366</v>
      </c>
      <c r="F367" s="6" t="n">
        <f aca="false">calc!$AN$367</f>
        <v>280.397121290391</v>
      </c>
      <c r="G367" s="16" t="n">
        <f aca="false">sol_ecl!$H$367</f>
        <v>33.6597689909561</v>
      </c>
      <c r="H367" s="6" t="n">
        <f aca="false">calc!$Z$367</f>
        <v>-0.720909893957177</v>
      </c>
      <c r="I367" s="112" t="n">
        <f aca="false">10*H367</f>
        <v>-7.20909893957177</v>
      </c>
      <c r="J367" s="103" t="n">
        <f aca="false">ABS(ABS(F367-G367)-180)</f>
        <v>66.7373522994346</v>
      </c>
      <c r="K367" s="6" t="str">
        <f aca="false">IF(ABS(J367)/11.31&lt;1,J367/11.31,"")</f>
        <v/>
      </c>
      <c r="L367" s="6" t="n">
        <f aca="false">IF(ABS(H367)/1.067&lt;1,H367,"")</f>
        <v>-0.720909893957177</v>
      </c>
      <c r="M367" s="107" t="str">
        <f aca="false">IF(OR(K367="",L367=""),"",ABS(K367)+ABS(L367))</f>
        <v/>
      </c>
    </row>
    <row r="369" customFormat="false" ht="17.75" hidden="false" customHeight="true" outlineLevel="0" collapsed="false">
      <c r="H369" s="6" t="n">
        <f aca="false">calc!$Z$369</f>
        <v>-5.28057804125969</v>
      </c>
    </row>
    <row r="370" customFormat="false" ht="17.75" hidden="false" customHeight="true" outlineLevel="0" collapsed="false">
      <c r="H370" s="6" t="n">
        <f aca="false">calc!$Z$370</f>
        <v>5.27490317409464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&amp;C&amp;10&amp;Kffffff&amp;A</oddHeader>
    <oddFooter>&amp;C&amp;10&amp;KffffffSeite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1018</TotalTime>
  <Application>LibreOffice/7.4.2.3$MacOSX_X86_64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2019-04-06T21:52:12Z</dcterms:created>
  <dc:creator/>
  <dc:description/>
  <dc:language>de-DE</dc:language>
  <cp:lastModifiedBy/>
  <dcterms:modified xsi:type="dcterms:W3CDTF">2022-10-25T20:05:35Z</dcterms:modified>
  <cp:revision>155</cp:revision>
  <dc:subject/>
  <dc:title/>
</cp:coreProperties>
</file>